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65" yWindow="2175" windowWidth="9720" windowHeight="5580" tabRatio="604" activeTab="12"/>
  </bookViews>
  <sheets>
    <sheet name="Dia Juliano" sheetId="1" r:id="rId1"/>
    <sheet name="JAN" sheetId="2" r:id="rId2"/>
    <sheet name="FEV" sheetId="3" r:id="rId3"/>
    <sheet name="MAR" sheetId="4" r:id="rId4"/>
    <sheet name="ABR" sheetId="5" r:id="rId5"/>
    <sheet name="MAI" sheetId="6" r:id="rId6"/>
    <sheet name="JUN" sheetId="7" r:id="rId7"/>
    <sheet name="JUL" sheetId="8" r:id="rId8"/>
    <sheet name="AGO" sheetId="9" r:id="rId9"/>
    <sheet name="SET" sheetId="10" r:id="rId10"/>
    <sheet name="OUT" sheetId="11" r:id="rId11"/>
    <sheet name="NOV" sheetId="12" r:id="rId12"/>
    <sheet name="DEZ" sheetId="13" r:id="rId13"/>
    <sheet name="Médias" sheetId="14" r:id="rId14"/>
  </sheets>
  <definedNames>
    <definedName name="_xlnm.Print_Area" localSheetId="4">'ABR'!$A$1:$Y$33</definedName>
    <definedName name="_xlnm.Print_Area" localSheetId="8">'AGO'!$A$1:$Y$35</definedName>
    <definedName name="_xlnm.Print_Area" localSheetId="12">'DEZ'!$A$1:$Y$35</definedName>
    <definedName name="_xlnm.Print_Area" localSheetId="2">'FEV'!$A$1:$Y$32</definedName>
    <definedName name="_xlnm.Print_Area" localSheetId="1">'JAN'!$A$1:$Y$35</definedName>
    <definedName name="_xlnm.Print_Area" localSheetId="7">'JUL'!$A$1:$Y$35</definedName>
    <definedName name="_xlnm.Print_Area" localSheetId="6">'JUN'!$A$1:$Y$34</definedName>
    <definedName name="_xlnm.Print_Area" localSheetId="5">'MAI'!$A$1:$Y$35</definedName>
    <definedName name="_xlnm.Print_Area" localSheetId="3">'MAR'!$A$1:$Y$34</definedName>
    <definedName name="_xlnm.Print_Area" localSheetId="11">'NOV'!$A$1:$Y$34</definedName>
    <definedName name="_xlnm.Print_Area" localSheetId="10">'OUT'!$A$1:$Y$35</definedName>
    <definedName name="_xlnm.Print_Area" localSheetId="9">'SET'!$A$1:$Y$34</definedName>
  </definedNames>
  <calcPr fullCalcOnLoad="1"/>
</workbook>
</file>

<file path=xl/sharedStrings.xml><?xml version="1.0" encoding="utf-8"?>
<sst xmlns="http://schemas.openxmlformats.org/spreadsheetml/2006/main" count="477" uniqueCount="48">
  <si>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</si>
  <si>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</si>
  <si>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</si>
  <si>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</si>
  <si>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</si>
  <si>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</si>
  <si>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</si>
  <si>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</si>
  <si>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</si>
  <si>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</si>
  <si>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</si>
  <si>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</si>
  <si>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Ano</t>
  </si>
  <si>
    <t>Data</t>
  </si>
  <si>
    <t>Temperatura Máxima</t>
  </si>
  <si>
    <t>Hora da Máxima</t>
  </si>
  <si>
    <t>Temperatura Mínima</t>
  </si>
  <si>
    <t>Hora da Mínima</t>
  </si>
  <si>
    <t>Temperatura Média</t>
  </si>
  <si>
    <t>Umidade do Ar Máxima</t>
  </si>
  <si>
    <t>Umidade do Ar Mínima</t>
  </si>
  <si>
    <t>Umidade do ar Média</t>
  </si>
  <si>
    <t>Chuva</t>
  </si>
  <si>
    <t>Velocidade Média Vento</t>
  </si>
  <si>
    <t>Velocidade Máxima Vento</t>
  </si>
  <si>
    <t>Radiação Total</t>
  </si>
  <si>
    <t>Radiação Líquida Máxima</t>
  </si>
  <si>
    <t>Fluxo de Calor Máximo</t>
  </si>
  <si>
    <t>Fluxo de Calor Mínimo</t>
  </si>
  <si>
    <t>ETO</t>
  </si>
  <si>
    <t>(ºC)</t>
  </si>
  <si>
    <t>(%)</t>
  </si>
  <si>
    <t>(mm)</t>
  </si>
  <si>
    <t>(m/s)</t>
  </si>
  <si>
    <t>(kJ/m²)</t>
  </si>
  <si>
    <t>Direção do Vento</t>
  </si>
  <si>
    <t>Precipitação (mm)</t>
  </si>
  <si>
    <t>ETO (mm)</t>
  </si>
  <si>
    <t>Média/Soma</t>
  </si>
  <si>
    <t>Temperatura média ano:</t>
  </si>
  <si>
    <t>Meses</t>
  </si>
  <si>
    <t>Temp. Média</t>
  </si>
  <si>
    <t>(km/h)</t>
  </si>
  <si>
    <t>(MJ/m²)</t>
  </si>
  <si>
    <t>Radiação Total Média</t>
  </si>
  <si>
    <t>Temp. Média Min. (ºC)</t>
  </si>
  <si>
    <t>Temp. Média Máx. (ºC)</t>
  </si>
  <si>
    <t>1503</t>
  </si>
</sst>
</file>

<file path=xl/styles.xml><?xml version="1.0" encoding="utf-8"?>
<styleSheet xmlns="http://schemas.openxmlformats.org/spreadsheetml/2006/main">
  <numFmts count="3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"/>
    <numFmt numFmtId="179" formatCode="#,##0.0"/>
    <numFmt numFmtId="180" formatCode="#,##0.000"/>
    <numFmt numFmtId="181" formatCode="#,##0.0000"/>
    <numFmt numFmtId="182" formatCode="0.000"/>
    <numFmt numFmtId="183" formatCode="d/m"/>
    <numFmt numFmtId="184" formatCode="dd/mm/yy"/>
    <numFmt numFmtId="185" formatCode="dd\-mmm\-yy"/>
    <numFmt numFmtId="186" formatCode="d\ \ mmmm\,\ yyyy"/>
    <numFmt numFmtId="187" formatCode="d/m/yy"/>
    <numFmt numFmtId="188" formatCode="0.0000"/>
    <numFmt numFmtId="189" formatCode="#.##0.000"/>
    <numFmt numFmtId="190" formatCode="_(* #,##0.000_);_(* \(#,##0.000\);_(* &quot;-&quot;??_);_(@_)"/>
    <numFmt numFmtId="191" formatCode="mmm/yyyy"/>
    <numFmt numFmtId="192" formatCode="0.00000"/>
    <numFmt numFmtId="193" formatCode="[$-416]dddd\,\ d&quot; de &quot;mmmm&quot; de &quot;yyyy"/>
    <numFmt numFmtId="194" formatCode="0.00000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186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5" fillId="33" borderId="11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87" fontId="4" fillId="0" borderId="11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78" fontId="6" fillId="0" borderId="0" xfId="0" applyNumberFormat="1" applyFont="1" applyAlignment="1">
      <alignment/>
    </xf>
    <xf numFmtId="0" fontId="0" fillId="0" borderId="0" xfId="0" applyNumberFormat="1" applyAlignment="1">
      <alignment horizontal="center" wrapText="1"/>
    </xf>
    <xf numFmtId="0" fontId="0" fillId="0" borderId="11" xfId="0" applyNumberFormat="1" applyBorder="1" applyAlignment="1">
      <alignment horizontal="center" wrapText="1"/>
    </xf>
    <xf numFmtId="0" fontId="6" fillId="0" borderId="11" xfId="0" applyFont="1" applyBorder="1" applyAlignment="1">
      <alignment/>
    </xf>
    <xf numFmtId="0" fontId="0" fillId="0" borderId="11" xfId="0" applyNumberFormat="1" applyBorder="1" applyAlignment="1">
      <alignment horizontal="center" vertical="center" wrapText="1"/>
    </xf>
    <xf numFmtId="0" fontId="6" fillId="0" borderId="13" xfId="0" applyFont="1" applyBorder="1" applyAlignment="1">
      <alignment/>
    </xf>
    <xf numFmtId="2" fontId="6" fillId="0" borderId="13" xfId="0" applyNumberFormat="1" applyFont="1" applyBorder="1" applyAlignment="1">
      <alignment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/>
    </xf>
    <xf numFmtId="0" fontId="9" fillId="0" borderId="0" xfId="0" applyFont="1" applyFill="1" applyBorder="1" applyAlignment="1">
      <alignment horizontal="center" wrapText="1"/>
    </xf>
    <xf numFmtId="2" fontId="3" fillId="0" borderId="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182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3" fillId="0" borderId="0" xfId="0" applyNumberFormat="1" applyFont="1" applyFill="1" applyBorder="1" applyAlignment="1">
      <alignment horizontal="center" wrapText="1"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center"/>
    </xf>
    <xf numFmtId="182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center"/>
    </xf>
    <xf numFmtId="4" fontId="0" fillId="0" borderId="11" xfId="0" applyNumberFormat="1" applyBorder="1" applyAlignment="1">
      <alignment horizontal="center"/>
    </xf>
    <xf numFmtId="180" fontId="0" fillId="0" borderId="11" xfId="0" applyNumberFormat="1" applyBorder="1" applyAlignment="1">
      <alignment horizontal="center"/>
    </xf>
    <xf numFmtId="178" fontId="0" fillId="0" borderId="11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82" fontId="0" fillId="0" borderId="11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178" fontId="6" fillId="0" borderId="0" xfId="0" applyNumberFormat="1" applyFont="1" applyAlignment="1">
      <alignment horizontal="center"/>
    </xf>
    <xf numFmtId="4" fontId="0" fillId="0" borderId="11" xfId="0" applyNumberFormat="1" applyFill="1" applyBorder="1" applyAlignment="1">
      <alignment horizontal="center"/>
    </xf>
    <xf numFmtId="179" fontId="0" fillId="0" borderId="11" xfId="0" applyNumberFormat="1" applyBorder="1" applyAlignment="1">
      <alignment horizontal="center"/>
    </xf>
    <xf numFmtId="178" fontId="0" fillId="0" borderId="11" xfId="0" applyNumberFormat="1" applyFont="1" applyBorder="1" applyAlignment="1">
      <alignment horizontal="center"/>
    </xf>
    <xf numFmtId="182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80" fontId="0" fillId="0" borderId="11" xfId="0" applyNumberFormat="1" applyFont="1" applyBorder="1" applyAlignment="1">
      <alignment horizontal="center"/>
    </xf>
    <xf numFmtId="2" fontId="0" fillId="34" borderId="11" xfId="0" applyNumberFormat="1" applyFill="1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179" fontId="6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0" fontId="0" fillId="0" borderId="11" xfId="0" applyBorder="1" applyAlignment="1" quotePrefix="1">
      <alignment horizontal="center"/>
    </xf>
    <xf numFmtId="187" fontId="0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87" fontId="0" fillId="35" borderId="11" xfId="0" applyNumberFormat="1" applyFont="1" applyFill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8" fillId="34" borderId="11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14" fontId="7" fillId="0" borderId="10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81"/>
  <sheetViews>
    <sheetView zoomScalePageLayoutView="0" workbookViewId="0" topLeftCell="A67">
      <selection activeCell="A91" sqref="A91"/>
    </sheetView>
  </sheetViews>
  <sheetFormatPr defaultColWidth="9.140625" defaultRowHeight="12.75"/>
  <cols>
    <col min="1" max="32" width="4.421875" style="0" customWidth="1"/>
  </cols>
  <sheetData>
    <row r="1" spans="1:6" ht="12.75">
      <c r="A1" s="1"/>
      <c r="B1" s="1"/>
      <c r="C1" s="1"/>
      <c r="D1" s="1"/>
      <c r="E1" s="2"/>
      <c r="F1" s="2"/>
    </row>
    <row r="2" spans="1:32" ht="12.75">
      <c r="A2" s="3"/>
      <c r="B2" s="4">
        <v>1</v>
      </c>
      <c r="C2" s="4">
        <v>2</v>
      </c>
      <c r="D2" s="4">
        <v>3</v>
      </c>
      <c r="E2" s="4">
        <v>4</v>
      </c>
      <c r="F2" s="4">
        <v>5</v>
      </c>
      <c r="G2" s="4">
        <v>6</v>
      </c>
      <c r="H2" s="4">
        <v>7</v>
      </c>
      <c r="I2" s="4">
        <v>8</v>
      </c>
      <c r="J2" s="4">
        <v>9</v>
      </c>
      <c r="K2" s="4">
        <v>10</v>
      </c>
      <c r="L2" s="4">
        <v>11</v>
      </c>
      <c r="M2" s="4">
        <v>12</v>
      </c>
      <c r="N2" s="4">
        <v>13</v>
      </c>
      <c r="O2" s="4">
        <v>14</v>
      </c>
      <c r="P2" s="4">
        <v>15</v>
      </c>
      <c r="Q2" s="4">
        <v>16</v>
      </c>
      <c r="R2" s="4">
        <v>17</v>
      </c>
      <c r="S2" s="4">
        <v>18</v>
      </c>
      <c r="T2" s="4">
        <v>19</v>
      </c>
      <c r="U2" s="4">
        <v>20</v>
      </c>
      <c r="V2" s="4">
        <v>21</v>
      </c>
      <c r="W2" s="4">
        <v>22</v>
      </c>
      <c r="X2" s="4">
        <v>23</v>
      </c>
      <c r="Y2" s="4">
        <v>24</v>
      </c>
      <c r="Z2" s="4">
        <v>25</v>
      </c>
      <c r="AA2" s="4">
        <v>26</v>
      </c>
      <c r="AB2" s="4">
        <v>27</v>
      </c>
      <c r="AC2" s="4">
        <v>28</v>
      </c>
      <c r="AD2" s="4">
        <v>29</v>
      </c>
      <c r="AE2" s="4">
        <v>30</v>
      </c>
      <c r="AF2" s="4">
        <v>31</v>
      </c>
    </row>
    <row r="3" spans="1:32" ht="12.75">
      <c r="A3" s="4" t="s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  <c r="K3" s="5">
        <v>10</v>
      </c>
      <c r="L3" s="5">
        <v>11</v>
      </c>
      <c r="M3" s="5">
        <v>12</v>
      </c>
      <c r="N3" s="5">
        <v>13</v>
      </c>
      <c r="O3" s="5">
        <v>14</v>
      </c>
      <c r="P3" s="5">
        <v>15</v>
      </c>
      <c r="Q3" s="5">
        <v>16</v>
      </c>
      <c r="R3" s="5">
        <v>17</v>
      </c>
      <c r="S3" s="5">
        <v>18</v>
      </c>
      <c r="T3" s="5">
        <v>19</v>
      </c>
      <c r="U3" s="5">
        <v>20</v>
      </c>
      <c r="V3" s="5">
        <v>21</v>
      </c>
      <c r="W3" s="5">
        <v>22</v>
      </c>
      <c r="X3" s="5">
        <v>23</v>
      </c>
      <c r="Y3" s="5">
        <v>24</v>
      </c>
      <c r="Z3" s="5">
        <v>25</v>
      </c>
      <c r="AA3" s="5">
        <v>26</v>
      </c>
      <c r="AB3" s="5">
        <v>27</v>
      </c>
      <c r="AC3" s="5">
        <v>28</v>
      </c>
      <c r="AD3" s="5">
        <v>29</v>
      </c>
      <c r="AE3" s="5">
        <v>30</v>
      </c>
      <c r="AF3" s="5">
        <v>31</v>
      </c>
    </row>
    <row r="4" spans="1:32" ht="12.75">
      <c r="A4" s="4" t="s">
        <v>1</v>
      </c>
      <c r="B4" s="5">
        <v>32</v>
      </c>
      <c r="C4" s="5">
        <v>33</v>
      </c>
      <c r="D4" s="5">
        <v>34</v>
      </c>
      <c r="E4" s="5">
        <v>35</v>
      </c>
      <c r="F4" s="5">
        <v>36</v>
      </c>
      <c r="G4" s="5">
        <v>37</v>
      </c>
      <c r="H4" s="5">
        <v>38</v>
      </c>
      <c r="I4" s="5">
        <v>39</v>
      </c>
      <c r="J4" s="5">
        <v>40</v>
      </c>
      <c r="K4" s="5">
        <v>41</v>
      </c>
      <c r="L4" s="5">
        <v>42</v>
      </c>
      <c r="M4" s="5">
        <v>43</v>
      </c>
      <c r="N4" s="5">
        <v>44</v>
      </c>
      <c r="O4" s="5">
        <v>45</v>
      </c>
      <c r="P4" s="5">
        <v>46</v>
      </c>
      <c r="Q4" s="5">
        <v>47</v>
      </c>
      <c r="R4" s="5">
        <v>48</v>
      </c>
      <c r="S4" s="5">
        <v>49</v>
      </c>
      <c r="T4" s="5">
        <v>50</v>
      </c>
      <c r="U4" s="5">
        <v>51</v>
      </c>
      <c r="V4" s="5">
        <v>52</v>
      </c>
      <c r="W4" s="5">
        <v>53</v>
      </c>
      <c r="X4" s="5">
        <v>54</v>
      </c>
      <c r="Y4" s="5">
        <v>55</v>
      </c>
      <c r="Z4" s="5">
        <v>56</v>
      </c>
      <c r="AA4" s="5">
        <v>57</v>
      </c>
      <c r="AB4" s="5">
        <v>58</v>
      </c>
      <c r="AC4" s="5">
        <v>59</v>
      </c>
      <c r="AD4" s="5">
        <v>60</v>
      </c>
      <c r="AE4" s="5"/>
      <c r="AF4" s="5"/>
    </row>
    <row r="5" spans="1:32" ht="12.75">
      <c r="A5" s="4" t="s">
        <v>2</v>
      </c>
      <c r="B5" s="5">
        <v>60</v>
      </c>
      <c r="C5" s="5">
        <v>61</v>
      </c>
      <c r="D5" s="5">
        <v>62</v>
      </c>
      <c r="E5" s="5">
        <v>63</v>
      </c>
      <c r="F5" s="5">
        <v>64</v>
      </c>
      <c r="G5" s="5">
        <v>65</v>
      </c>
      <c r="H5" s="5">
        <v>66</v>
      </c>
      <c r="I5" s="5">
        <v>67</v>
      </c>
      <c r="J5" s="5">
        <v>68</v>
      </c>
      <c r="K5" s="5">
        <v>69</v>
      </c>
      <c r="L5" s="5">
        <v>70</v>
      </c>
      <c r="M5" s="5">
        <v>71</v>
      </c>
      <c r="N5" s="5">
        <v>72</v>
      </c>
      <c r="O5" s="5">
        <v>73</v>
      </c>
      <c r="P5" s="5">
        <v>74</v>
      </c>
      <c r="Q5" s="5">
        <v>75</v>
      </c>
      <c r="R5" s="5">
        <v>76</v>
      </c>
      <c r="S5" s="5">
        <v>77</v>
      </c>
      <c r="T5" s="5">
        <v>78</v>
      </c>
      <c r="U5" s="5">
        <v>79</v>
      </c>
      <c r="V5" s="5">
        <v>80</v>
      </c>
      <c r="W5" s="5">
        <v>81</v>
      </c>
      <c r="X5" s="5">
        <v>82</v>
      </c>
      <c r="Y5" s="5">
        <v>83</v>
      </c>
      <c r="Z5" s="5">
        <v>84</v>
      </c>
      <c r="AA5" s="5">
        <v>85</v>
      </c>
      <c r="AB5" s="5">
        <v>86</v>
      </c>
      <c r="AC5" s="5">
        <v>87</v>
      </c>
      <c r="AD5" s="5">
        <v>88</v>
      </c>
      <c r="AE5" s="5">
        <v>89</v>
      </c>
      <c r="AF5" s="5">
        <v>90</v>
      </c>
    </row>
    <row r="6" spans="1:32" ht="12.75">
      <c r="A6" s="4" t="s">
        <v>3</v>
      </c>
      <c r="B6" s="5">
        <v>91</v>
      </c>
      <c r="C6" s="5">
        <v>92</v>
      </c>
      <c r="D6" s="5">
        <v>93</v>
      </c>
      <c r="E6" s="5">
        <v>94</v>
      </c>
      <c r="F6" s="5">
        <v>95</v>
      </c>
      <c r="G6" s="5">
        <v>96</v>
      </c>
      <c r="H6" s="5">
        <v>97</v>
      </c>
      <c r="I6" s="5">
        <v>98</v>
      </c>
      <c r="J6" s="5">
        <v>99</v>
      </c>
      <c r="K6" s="5">
        <v>100</v>
      </c>
      <c r="L6" s="5">
        <v>101</v>
      </c>
      <c r="M6" s="5">
        <v>102</v>
      </c>
      <c r="N6" s="5">
        <v>103</v>
      </c>
      <c r="O6" s="5">
        <v>104</v>
      </c>
      <c r="P6" s="5">
        <v>105</v>
      </c>
      <c r="Q6" s="5">
        <v>106</v>
      </c>
      <c r="R6" s="5">
        <v>107</v>
      </c>
      <c r="S6" s="5">
        <v>108</v>
      </c>
      <c r="T6" s="5">
        <v>109</v>
      </c>
      <c r="U6" s="5">
        <v>110</v>
      </c>
      <c r="V6" s="5">
        <v>111</v>
      </c>
      <c r="W6" s="5">
        <v>112</v>
      </c>
      <c r="X6" s="5">
        <v>113</v>
      </c>
      <c r="Y6" s="5">
        <v>114</v>
      </c>
      <c r="Z6" s="5">
        <v>115</v>
      </c>
      <c r="AA6" s="5">
        <v>116</v>
      </c>
      <c r="AB6" s="5">
        <v>117</v>
      </c>
      <c r="AC6" s="5">
        <v>118</v>
      </c>
      <c r="AD6" s="5">
        <v>119</v>
      </c>
      <c r="AE6" s="5">
        <v>120</v>
      </c>
      <c r="AF6" s="5"/>
    </row>
    <row r="7" spans="1:32" ht="12.75">
      <c r="A7" s="4" t="s">
        <v>4</v>
      </c>
      <c r="B7" s="5">
        <v>121</v>
      </c>
      <c r="C7" s="5">
        <v>122</v>
      </c>
      <c r="D7" s="5">
        <v>123</v>
      </c>
      <c r="E7" s="5">
        <v>124</v>
      </c>
      <c r="F7" s="5">
        <v>125</v>
      </c>
      <c r="G7" s="5">
        <v>126</v>
      </c>
      <c r="H7" s="5">
        <v>127</v>
      </c>
      <c r="I7" s="5">
        <v>128</v>
      </c>
      <c r="J7" s="5">
        <v>129</v>
      </c>
      <c r="K7" s="5">
        <v>130</v>
      </c>
      <c r="L7" s="5">
        <v>131</v>
      </c>
      <c r="M7" s="5">
        <v>132</v>
      </c>
      <c r="N7" s="5">
        <v>133</v>
      </c>
      <c r="O7" s="5">
        <v>134</v>
      </c>
      <c r="P7" s="5">
        <v>135</v>
      </c>
      <c r="Q7" s="5">
        <v>136</v>
      </c>
      <c r="R7" s="5">
        <v>137</v>
      </c>
      <c r="S7" s="5">
        <v>138</v>
      </c>
      <c r="T7" s="5">
        <v>139</v>
      </c>
      <c r="U7" s="5">
        <v>140</v>
      </c>
      <c r="V7" s="5">
        <v>141</v>
      </c>
      <c r="W7" s="5">
        <v>142</v>
      </c>
      <c r="X7" s="5">
        <v>143</v>
      </c>
      <c r="Y7" s="5">
        <v>144</v>
      </c>
      <c r="Z7" s="5">
        <v>145</v>
      </c>
      <c r="AA7" s="5">
        <v>146</v>
      </c>
      <c r="AB7" s="5">
        <v>147</v>
      </c>
      <c r="AC7" s="5">
        <v>148</v>
      </c>
      <c r="AD7" s="5">
        <v>149</v>
      </c>
      <c r="AE7" s="5">
        <v>150</v>
      </c>
      <c r="AF7" s="5">
        <v>151</v>
      </c>
    </row>
    <row r="8" spans="1:32" ht="12.75">
      <c r="A8" s="4" t="s">
        <v>5</v>
      </c>
      <c r="B8" s="5">
        <v>152</v>
      </c>
      <c r="C8" s="5">
        <v>153</v>
      </c>
      <c r="D8" s="5">
        <v>154</v>
      </c>
      <c r="E8" s="5">
        <v>155</v>
      </c>
      <c r="F8" s="5">
        <v>156</v>
      </c>
      <c r="G8" s="5">
        <v>157</v>
      </c>
      <c r="H8" s="5">
        <v>158</v>
      </c>
      <c r="I8" s="5">
        <v>159</v>
      </c>
      <c r="J8" s="5">
        <v>160</v>
      </c>
      <c r="K8" s="5">
        <v>161</v>
      </c>
      <c r="L8" s="5">
        <v>162</v>
      </c>
      <c r="M8" s="5">
        <v>163</v>
      </c>
      <c r="N8" s="5">
        <v>164</v>
      </c>
      <c r="O8" s="5">
        <v>165</v>
      </c>
      <c r="P8" s="5">
        <v>166</v>
      </c>
      <c r="Q8" s="5">
        <v>167</v>
      </c>
      <c r="R8" s="5">
        <v>168</v>
      </c>
      <c r="S8" s="5">
        <v>169</v>
      </c>
      <c r="T8" s="5">
        <v>170</v>
      </c>
      <c r="U8" s="5">
        <v>171</v>
      </c>
      <c r="V8" s="5">
        <v>172</v>
      </c>
      <c r="W8" s="5">
        <v>173</v>
      </c>
      <c r="X8" s="5">
        <v>174</v>
      </c>
      <c r="Y8" s="5">
        <v>175</v>
      </c>
      <c r="Z8" s="5">
        <v>176</v>
      </c>
      <c r="AA8" s="5">
        <v>177</v>
      </c>
      <c r="AB8" s="5">
        <v>178</v>
      </c>
      <c r="AC8" s="5">
        <v>179</v>
      </c>
      <c r="AD8" s="5">
        <v>180</v>
      </c>
      <c r="AE8" s="5">
        <v>181</v>
      </c>
      <c r="AF8" s="5"/>
    </row>
    <row r="9" spans="1:32" ht="12.75">
      <c r="A9" s="4" t="s">
        <v>6</v>
      </c>
      <c r="B9" s="5">
        <v>182</v>
      </c>
      <c r="C9" s="5">
        <v>183</v>
      </c>
      <c r="D9" s="5">
        <v>184</v>
      </c>
      <c r="E9" s="5">
        <v>185</v>
      </c>
      <c r="F9" s="5">
        <v>186</v>
      </c>
      <c r="G9" s="5">
        <v>187</v>
      </c>
      <c r="H9" s="5">
        <v>188</v>
      </c>
      <c r="I9" s="5">
        <v>189</v>
      </c>
      <c r="J9" s="5">
        <v>190</v>
      </c>
      <c r="K9" s="5">
        <v>191</v>
      </c>
      <c r="L9" s="5">
        <v>192</v>
      </c>
      <c r="M9" s="5">
        <v>193</v>
      </c>
      <c r="N9" s="5">
        <v>194</v>
      </c>
      <c r="O9" s="5">
        <v>195</v>
      </c>
      <c r="P9" s="5">
        <v>196</v>
      </c>
      <c r="Q9" s="5">
        <v>197</v>
      </c>
      <c r="R9" s="5">
        <v>198</v>
      </c>
      <c r="S9" s="5">
        <v>199</v>
      </c>
      <c r="T9" s="5">
        <v>200</v>
      </c>
      <c r="U9" s="5">
        <v>201</v>
      </c>
      <c r="V9" s="5">
        <v>202</v>
      </c>
      <c r="W9" s="5">
        <v>203</v>
      </c>
      <c r="X9" s="5">
        <v>204</v>
      </c>
      <c r="Y9" s="5">
        <v>205</v>
      </c>
      <c r="Z9" s="5">
        <v>206</v>
      </c>
      <c r="AA9" s="5">
        <v>207</v>
      </c>
      <c r="AB9" s="5">
        <v>208</v>
      </c>
      <c r="AC9" s="5">
        <v>209</v>
      </c>
      <c r="AD9" s="5">
        <v>210</v>
      </c>
      <c r="AE9" s="5">
        <v>211</v>
      </c>
      <c r="AF9" s="5">
        <v>212</v>
      </c>
    </row>
    <row r="10" spans="1:32" ht="12.75">
      <c r="A10" s="4" t="s">
        <v>7</v>
      </c>
      <c r="B10" s="5">
        <v>213</v>
      </c>
      <c r="C10" s="5">
        <v>214</v>
      </c>
      <c r="D10" s="5">
        <v>215</v>
      </c>
      <c r="E10" s="5">
        <v>216</v>
      </c>
      <c r="F10" s="5">
        <v>217</v>
      </c>
      <c r="G10" s="5">
        <v>218</v>
      </c>
      <c r="H10" s="5">
        <v>219</v>
      </c>
      <c r="I10" s="5">
        <v>220</v>
      </c>
      <c r="J10" s="5">
        <v>221</v>
      </c>
      <c r="K10" s="5">
        <v>222</v>
      </c>
      <c r="L10" s="5">
        <v>223</v>
      </c>
      <c r="M10" s="5">
        <v>224</v>
      </c>
      <c r="N10" s="5">
        <v>225</v>
      </c>
      <c r="O10" s="5">
        <v>226</v>
      </c>
      <c r="P10" s="5">
        <v>227</v>
      </c>
      <c r="Q10" s="5">
        <v>228</v>
      </c>
      <c r="R10" s="5">
        <v>229</v>
      </c>
      <c r="S10" s="5">
        <v>230</v>
      </c>
      <c r="T10" s="5">
        <v>231</v>
      </c>
      <c r="U10" s="5">
        <v>232</v>
      </c>
      <c r="V10" s="5">
        <v>233</v>
      </c>
      <c r="W10" s="5">
        <v>234</v>
      </c>
      <c r="X10" s="5">
        <v>235</v>
      </c>
      <c r="Y10" s="5">
        <v>236</v>
      </c>
      <c r="Z10" s="5">
        <v>237</v>
      </c>
      <c r="AA10" s="5">
        <v>238</v>
      </c>
      <c r="AB10" s="5">
        <v>239</v>
      </c>
      <c r="AC10" s="5">
        <v>240</v>
      </c>
      <c r="AD10" s="5">
        <v>241</v>
      </c>
      <c r="AE10" s="5">
        <v>242</v>
      </c>
      <c r="AF10" s="5">
        <v>243</v>
      </c>
    </row>
    <row r="11" spans="1:32" ht="12.75">
      <c r="A11" s="4" t="s">
        <v>8</v>
      </c>
      <c r="B11" s="5">
        <v>244</v>
      </c>
      <c r="C11" s="5">
        <v>245</v>
      </c>
      <c r="D11" s="5">
        <v>246</v>
      </c>
      <c r="E11" s="5">
        <v>247</v>
      </c>
      <c r="F11" s="5">
        <v>248</v>
      </c>
      <c r="G11" s="5">
        <v>249</v>
      </c>
      <c r="H11" s="5">
        <v>250</v>
      </c>
      <c r="I11" s="5">
        <v>251</v>
      </c>
      <c r="J11" s="5">
        <v>252</v>
      </c>
      <c r="K11" s="5">
        <v>253</v>
      </c>
      <c r="L11" s="5">
        <v>254</v>
      </c>
      <c r="M11" s="5">
        <v>255</v>
      </c>
      <c r="N11" s="5">
        <v>256</v>
      </c>
      <c r="O11" s="5">
        <v>257</v>
      </c>
      <c r="P11" s="5">
        <v>258</v>
      </c>
      <c r="Q11" s="5">
        <v>259</v>
      </c>
      <c r="R11" s="5">
        <v>260</v>
      </c>
      <c r="S11" s="5">
        <v>261</v>
      </c>
      <c r="T11" s="5">
        <v>262</v>
      </c>
      <c r="U11" s="5">
        <v>263</v>
      </c>
      <c r="V11" s="5">
        <v>264</v>
      </c>
      <c r="W11" s="5">
        <v>265</v>
      </c>
      <c r="X11" s="5">
        <v>266</v>
      </c>
      <c r="Y11" s="5">
        <v>267</v>
      </c>
      <c r="Z11" s="5">
        <v>268</v>
      </c>
      <c r="AA11" s="5">
        <v>269</v>
      </c>
      <c r="AB11" s="5">
        <v>270</v>
      </c>
      <c r="AC11" s="5">
        <v>271</v>
      </c>
      <c r="AD11" s="5">
        <v>272</v>
      </c>
      <c r="AE11" s="5">
        <v>273</v>
      </c>
      <c r="AF11" s="5"/>
    </row>
    <row r="12" spans="1:32" ht="12.75">
      <c r="A12" s="4" t="s">
        <v>9</v>
      </c>
      <c r="B12" s="5">
        <v>274</v>
      </c>
      <c r="C12" s="5">
        <v>275</v>
      </c>
      <c r="D12" s="5">
        <v>276</v>
      </c>
      <c r="E12" s="5">
        <v>277</v>
      </c>
      <c r="F12" s="5">
        <v>278</v>
      </c>
      <c r="G12" s="5">
        <v>279</v>
      </c>
      <c r="H12" s="5">
        <v>280</v>
      </c>
      <c r="I12" s="5">
        <v>281</v>
      </c>
      <c r="J12" s="5">
        <v>282</v>
      </c>
      <c r="K12" s="5">
        <v>283</v>
      </c>
      <c r="L12" s="5">
        <v>284</v>
      </c>
      <c r="M12" s="5">
        <v>285</v>
      </c>
      <c r="N12" s="5">
        <v>286</v>
      </c>
      <c r="O12" s="5">
        <v>287</v>
      </c>
      <c r="P12" s="5">
        <v>288</v>
      </c>
      <c r="Q12" s="5">
        <v>289</v>
      </c>
      <c r="R12" s="5">
        <v>290</v>
      </c>
      <c r="S12" s="5">
        <v>291</v>
      </c>
      <c r="T12" s="5">
        <v>292</v>
      </c>
      <c r="U12" s="5">
        <v>293</v>
      </c>
      <c r="V12" s="5">
        <v>294</v>
      </c>
      <c r="W12" s="5">
        <v>295</v>
      </c>
      <c r="X12" s="5">
        <v>296</v>
      </c>
      <c r="Y12" s="5">
        <v>297</v>
      </c>
      <c r="Z12" s="5">
        <v>298</v>
      </c>
      <c r="AA12" s="5">
        <v>299</v>
      </c>
      <c r="AB12" s="5">
        <v>300</v>
      </c>
      <c r="AC12" s="5">
        <v>301</v>
      </c>
      <c r="AD12" s="5">
        <v>302</v>
      </c>
      <c r="AE12" s="5">
        <v>303</v>
      </c>
      <c r="AF12" s="5">
        <v>304</v>
      </c>
    </row>
    <row r="13" spans="1:32" ht="12.75">
      <c r="A13" s="4" t="s">
        <v>10</v>
      </c>
      <c r="B13" s="5">
        <v>305</v>
      </c>
      <c r="C13" s="5">
        <v>306</v>
      </c>
      <c r="D13" s="5">
        <v>307</v>
      </c>
      <c r="E13" s="5">
        <v>308</v>
      </c>
      <c r="F13" s="5">
        <v>309</v>
      </c>
      <c r="G13" s="5">
        <v>310</v>
      </c>
      <c r="H13" s="5">
        <v>311</v>
      </c>
      <c r="I13" s="5">
        <v>312</v>
      </c>
      <c r="J13" s="5">
        <v>313</v>
      </c>
      <c r="K13" s="5">
        <v>314</v>
      </c>
      <c r="L13" s="5">
        <v>315</v>
      </c>
      <c r="M13" s="5">
        <v>316</v>
      </c>
      <c r="N13" s="5">
        <v>317</v>
      </c>
      <c r="O13" s="5">
        <v>318</v>
      </c>
      <c r="P13" s="5">
        <v>319</v>
      </c>
      <c r="Q13" s="5">
        <v>320</v>
      </c>
      <c r="R13" s="5">
        <v>321</v>
      </c>
      <c r="S13" s="5">
        <v>322</v>
      </c>
      <c r="T13" s="5">
        <v>323</v>
      </c>
      <c r="U13" s="5">
        <v>324</v>
      </c>
      <c r="V13" s="5">
        <v>325</v>
      </c>
      <c r="W13" s="5">
        <v>326</v>
      </c>
      <c r="X13" s="5">
        <v>327</v>
      </c>
      <c r="Y13" s="5">
        <v>328</v>
      </c>
      <c r="Z13" s="5">
        <v>329</v>
      </c>
      <c r="AA13" s="5">
        <v>330</v>
      </c>
      <c r="AB13" s="5">
        <v>331</v>
      </c>
      <c r="AC13" s="5">
        <v>332</v>
      </c>
      <c r="AD13" s="5">
        <v>333</v>
      </c>
      <c r="AE13" s="5">
        <v>334</v>
      </c>
      <c r="AF13" s="5"/>
    </row>
    <row r="14" spans="1:32" ht="12.75">
      <c r="A14" s="4" t="s">
        <v>11</v>
      </c>
      <c r="B14" s="5">
        <v>335</v>
      </c>
      <c r="C14" s="5">
        <v>336</v>
      </c>
      <c r="D14" s="5">
        <v>337</v>
      </c>
      <c r="E14" s="5">
        <v>338</v>
      </c>
      <c r="F14" s="5">
        <v>339</v>
      </c>
      <c r="G14" s="5">
        <v>340</v>
      </c>
      <c r="H14" s="5">
        <v>341</v>
      </c>
      <c r="I14" s="5">
        <v>342</v>
      </c>
      <c r="J14" s="5">
        <v>343</v>
      </c>
      <c r="K14" s="5">
        <v>344</v>
      </c>
      <c r="L14" s="5">
        <v>345</v>
      </c>
      <c r="M14" s="5">
        <v>346</v>
      </c>
      <c r="N14" s="5">
        <v>347</v>
      </c>
      <c r="O14" s="5">
        <v>348</v>
      </c>
      <c r="P14" s="5">
        <v>349</v>
      </c>
      <c r="Q14" s="5">
        <v>350</v>
      </c>
      <c r="R14" s="5">
        <v>351</v>
      </c>
      <c r="S14" s="5">
        <v>352</v>
      </c>
      <c r="T14" s="5">
        <v>353</v>
      </c>
      <c r="U14" s="5">
        <v>354</v>
      </c>
      <c r="V14" s="5">
        <v>355</v>
      </c>
      <c r="W14" s="5">
        <v>356</v>
      </c>
      <c r="X14" s="5">
        <v>357</v>
      </c>
      <c r="Y14" s="5">
        <v>358</v>
      </c>
      <c r="Z14" s="5">
        <v>359</v>
      </c>
      <c r="AA14" s="5">
        <v>360</v>
      </c>
      <c r="AB14" s="5">
        <v>361</v>
      </c>
      <c r="AC14" s="5">
        <v>362</v>
      </c>
      <c r="AD14" s="5">
        <v>363</v>
      </c>
      <c r="AE14" s="5">
        <v>364</v>
      </c>
      <c r="AF14" s="5">
        <v>365</v>
      </c>
    </row>
    <row r="16" spans="1:2" ht="12.75">
      <c r="A16" s="6">
        <v>1</v>
      </c>
      <c r="B16" s="64" t="s">
        <v>0</v>
      </c>
    </row>
    <row r="17" spans="1:2" ht="12.75">
      <c r="A17" s="6">
        <v>2</v>
      </c>
      <c r="B17" s="64"/>
    </row>
    <row r="18" spans="1:2" ht="12.75">
      <c r="A18" s="6">
        <v>3</v>
      </c>
      <c r="B18" s="64"/>
    </row>
    <row r="19" spans="1:2" ht="12.75">
      <c r="A19" s="6">
        <v>4</v>
      </c>
      <c r="B19" s="64"/>
    </row>
    <row r="20" spans="1:2" ht="12.75">
      <c r="A20" s="6">
        <v>5</v>
      </c>
      <c r="B20" s="64"/>
    </row>
    <row r="21" spans="1:2" ht="12.75">
      <c r="A21" s="6">
        <v>6</v>
      </c>
      <c r="B21" s="64"/>
    </row>
    <row r="22" spans="1:2" ht="12.75">
      <c r="A22" s="6">
        <v>7</v>
      </c>
      <c r="B22" s="64"/>
    </row>
    <row r="23" spans="1:2" ht="12.75">
      <c r="A23" s="6">
        <v>8</v>
      </c>
      <c r="B23" s="64"/>
    </row>
    <row r="24" spans="1:2" ht="12.75">
      <c r="A24" s="6">
        <v>9</v>
      </c>
      <c r="B24" s="64"/>
    </row>
    <row r="25" spans="1:2" ht="12.75">
      <c r="A25" s="6">
        <v>10</v>
      </c>
      <c r="B25" s="64"/>
    </row>
    <row r="26" spans="1:2" ht="12.75">
      <c r="A26" s="6">
        <v>11</v>
      </c>
      <c r="B26" s="64"/>
    </row>
    <row r="27" spans="1:2" ht="12.75">
      <c r="A27" s="6">
        <v>12</v>
      </c>
      <c r="B27" s="64"/>
    </row>
    <row r="28" spans="1:2" ht="12.75">
      <c r="A28" s="6">
        <v>13</v>
      </c>
      <c r="B28" s="64"/>
    </row>
    <row r="29" spans="1:2" ht="12.75">
      <c r="A29" s="6">
        <v>14</v>
      </c>
      <c r="B29" s="64"/>
    </row>
    <row r="30" spans="1:2" ht="12.75">
      <c r="A30" s="6">
        <v>15</v>
      </c>
      <c r="B30" s="64"/>
    </row>
    <row r="31" spans="1:2" ht="12.75">
      <c r="A31" s="6">
        <v>16</v>
      </c>
      <c r="B31" s="64"/>
    </row>
    <row r="32" spans="1:2" ht="12.75">
      <c r="A32" s="6">
        <v>17</v>
      </c>
      <c r="B32" s="64"/>
    </row>
    <row r="33" spans="1:2" ht="12.75">
      <c r="A33" s="6">
        <v>18</v>
      </c>
      <c r="B33" s="64"/>
    </row>
    <row r="34" spans="1:2" ht="12.75">
      <c r="A34" s="6">
        <v>19</v>
      </c>
      <c r="B34" s="64"/>
    </row>
    <row r="35" spans="1:2" ht="12.75">
      <c r="A35" s="6">
        <v>20</v>
      </c>
      <c r="B35" s="64"/>
    </row>
    <row r="36" spans="1:2" ht="12.75">
      <c r="A36" s="6">
        <v>21</v>
      </c>
      <c r="B36" s="64"/>
    </row>
    <row r="37" spans="1:2" ht="12.75">
      <c r="A37" s="6">
        <v>22</v>
      </c>
      <c r="B37" s="64"/>
    </row>
    <row r="38" spans="1:2" ht="12.75">
      <c r="A38" s="6">
        <v>23</v>
      </c>
      <c r="B38" s="64"/>
    </row>
    <row r="39" spans="1:2" ht="12.75">
      <c r="A39" s="6">
        <v>24</v>
      </c>
      <c r="B39" s="64"/>
    </row>
    <row r="40" spans="1:2" ht="12.75">
      <c r="A40" s="6">
        <v>25</v>
      </c>
      <c r="B40" s="64"/>
    </row>
    <row r="41" spans="1:2" ht="12.75">
      <c r="A41" s="6">
        <v>26</v>
      </c>
      <c r="B41" s="64"/>
    </row>
    <row r="42" spans="1:2" ht="12.75">
      <c r="A42" s="6">
        <v>27</v>
      </c>
      <c r="B42" s="64"/>
    </row>
    <row r="43" spans="1:2" ht="12.75">
      <c r="A43" s="6">
        <v>28</v>
      </c>
      <c r="B43" s="64"/>
    </row>
    <row r="44" spans="1:2" ht="12.75">
      <c r="A44" s="6">
        <v>29</v>
      </c>
      <c r="B44" s="64"/>
    </row>
    <row r="45" spans="1:2" ht="12.75">
      <c r="A45" s="6">
        <v>30</v>
      </c>
      <c r="B45" s="64"/>
    </row>
    <row r="46" spans="1:2" ht="12.75">
      <c r="A46" s="6">
        <v>31</v>
      </c>
      <c r="B46" s="64"/>
    </row>
    <row r="47" spans="1:2" ht="12.75">
      <c r="A47" s="7">
        <v>32</v>
      </c>
      <c r="B47" s="61" t="s">
        <v>1</v>
      </c>
    </row>
    <row r="48" spans="1:2" ht="12.75">
      <c r="A48" s="5">
        <v>33</v>
      </c>
      <c r="B48" s="62"/>
    </row>
    <row r="49" spans="1:2" ht="12.75">
      <c r="A49" s="5">
        <v>34</v>
      </c>
      <c r="B49" s="62"/>
    </row>
    <row r="50" spans="1:2" ht="12.75">
      <c r="A50" s="5">
        <v>35</v>
      </c>
      <c r="B50" s="62"/>
    </row>
    <row r="51" spans="1:2" ht="12.75">
      <c r="A51" s="5">
        <v>36</v>
      </c>
      <c r="B51" s="62"/>
    </row>
    <row r="52" spans="1:2" ht="12.75">
      <c r="A52" s="5">
        <v>37</v>
      </c>
      <c r="B52" s="62"/>
    </row>
    <row r="53" spans="1:2" ht="12.75">
      <c r="A53" s="5">
        <v>38</v>
      </c>
      <c r="B53" s="62"/>
    </row>
    <row r="54" spans="1:2" ht="12.75">
      <c r="A54" s="5">
        <v>39</v>
      </c>
      <c r="B54" s="62"/>
    </row>
    <row r="55" spans="1:2" ht="12.75">
      <c r="A55" s="5">
        <v>40</v>
      </c>
      <c r="B55" s="62"/>
    </row>
    <row r="56" spans="1:2" ht="12.75">
      <c r="A56" s="5">
        <v>41</v>
      </c>
      <c r="B56" s="62"/>
    </row>
    <row r="57" spans="1:2" ht="12.75">
      <c r="A57" s="5">
        <v>42</v>
      </c>
      <c r="B57" s="62"/>
    </row>
    <row r="58" spans="1:2" ht="12.75">
      <c r="A58" s="5">
        <v>43</v>
      </c>
      <c r="B58" s="62"/>
    </row>
    <row r="59" spans="1:2" ht="12.75">
      <c r="A59" s="5">
        <v>44</v>
      </c>
      <c r="B59" s="62"/>
    </row>
    <row r="60" spans="1:2" ht="12.75">
      <c r="A60" s="5">
        <v>45</v>
      </c>
      <c r="B60" s="62"/>
    </row>
    <row r="61" spans="1:2" ht="12.75">
      <c r="A61" s="5">
        <v>46</v>
      </c>
      <c r="B61" s="62"/>
    </row>
    <row r="62" spans="1:2" ht="12.75">
      <c r="A62" s="5">
        <v>47</v>
      </c>
      <c r="B62" s="62"/>
    </row>
    <row r="63" spans="1:2" ht="12.75">
      <c r="A63" s="5">
        <v>48</v>
      </c>
      <c r="B63" s="62"/>
    </row>
    <row r="64" spans="1:2" ht="12.75">
      <c r="A64" s="5">
        <v>49</v>
      </c>
      <c r="B64" s="62"/>
    </row>
    <row r="65" spans="1:2" ht="12.75">
      <c r="A65" s="5">
        <v>50</v>
      </c>
      <c r="B65" s="62"/>
    </row>
    <row r="66" spans="1:2" ht="12.75">
      <c r="A66" s="5">
        <v>51</v>
      </c>
      <c r="B66" s="62"/>
    </row>
    <row r="67" spans="1:2" ht="12.75">
      <c r="A67" s="5">
        <v>52</v>
      </c>
      <c r="B67" s="62"/>
    </row>
    <row r="68" spans="1:2" ht="12.75">
      <c r="A68" s="5">
        <v>53</v>
      </c>
      <c r="B68" s="62"/>
    </row>
    <row r="69" spans="1:2" ht="12.75">
      <c r="A69" s="5">
        <v>54</v>
      </c>
      <c r="B69" s="62"/>
    </row>
    <row r="70" spans="1:2" ht="12.75">
      <c r="A70" s="5">
        <v>55</v>
      </c>
      <c r="B70" s="62"/>
    </row>
    <row r="71" spans="1:2" ht="12.75">
      <c r="A71" s="5">
        <v>56</v>
      </c>
      <c r="B71" s="62"/>
    </row>
    <row r="72" spans="1:2" ht="12.75">
      <c r="A72" s="5">
        <v>57</v>
      </c>
      <c r="B72" s="62"/>
    </row>
    <row r="73" spans="1:2" ht="12.75">
      <c r="A73" s="5">
        <v>58</v>
      </c>
      <c r="B73" s="62"/>
    </row>
    <row r="74" spans="1:2" ht="12.75">
      <c r="A74" s="5">
        <v>59</v>
      </c>
      <c r="B74" s="62"/>
    </row>
    <row r="75" spans="1:2" ht="12.75">
      <c r="A75" s="5">
        <v>60</v>
      </c>
      <c r="B75" s="63"/>
    </row>
    <row r="76" spans="1:2" ht="12.75">
      <c r="A76" s="5">
        <v>60</v>
      </c>
      <c r="B76" s="61" t="s">
        <v>2</v>
      </c>
    </row>
    <row r="77" spans="1:2" ht="12.75">
      <c r="A77" s="5">
        <v>61</v>
      </c>
      <c r="B77" s="62"/>
    </row>
    <row r="78" spans="1:2" ht="12.75">
      <c r="A78" s="5">
        <v>62</v>
      </c>
      <c r="B78" s="62"/>
    </row>
    <row r="79" spans="1:2" ht="12.75">
      <c r="A79" s="5">
        <v>63</v>
      </c>
      <c r="B79" s="62"/>
    </row>
    <row r="80" spans="1:2" ht="12.75">
      <c r="A80" s="5">
        <v>64</v>
      </c>
      <c r="B80" s="62"/>
    </row>
    <row r="81" spans="1:2" ht="12.75">
      <c r="A81" s="5">
        <v>65</v>
      </c>
      <c r="B81" s="62"/>
    </row>
    <row r="82" spans="1:2" ht="12.75">
      <c r="A82" s="5">
        <v>66</v>
      </c>
      <c r="B82" s="62"/>
    </row>
    <row r="83" spans="1:2" ht="12.75">
      <c r="A83" s="5">
        <v>67</v>
      </c>
      <c r="B83" s="62"/>
    </row>
    <row r="84" spans="1:2" ht="12.75">
      <c r="A84" s="5">
        <v>68</v>
      </c>
      <c r="B84" s="62"/>
    </row>
    <row r="85" spans="1:2" ht="12.75">
      <c r="A85" s="5">
        <v>69</v>
      </c>
      <c r="B85" s="62"/>
    </row>
    <row r="86" spans="1:2" ht="12.75">
      <c r="A86" s="5">
        <v>70</v>
      </c>
      <c r="B86" s="62"/>
    </row>
    <row r="87" spans="1:2" ht="12.75">
      <c r="A87" s="5">
        <v>71</v>
      </c>
      <c r="B87" s="62"/>
    </row>
    <row r="88" spans="1:2" ht="12.75">
      <c r="A88" s="5">
        <v>72</v>
      </c>
      <c r="B88" s="62"/>
    </row>
    <row r="89" spans="1:2" ht="12.75">
      <c r="A89" s="5">
        <v>73</v>
      </c>
      <c r="B89" s="62"/>
    </row>
    <row r="90" spans="1:2" ht="12.75">
      <c r="A90" s="5">
        <v>74</v>
      </c>
      <c r="B90" s="62"/>
    </row>
    <row r="91" spans="1:2" ht="12.75">
      <c r="A91" s="5">
        <v>75</v>
      </c>
      <c r="B91" s="62"/>
    </row>
    <row r="92" spans="1:2" ht="12.75">
      <c r="A92" s="5">
        <v>76</v>
      </c>
      <c r="B92" s="62"/>
    </row>
    <row r="93" spans="1:2" ht="12.75">
      <c r="A93" s="5">
        <v>77</v>
      </c>
      <c r="B93" s="62"/>
    </row>
    <row r="94" spans="1:2" ht="12.75">
      <c r="A94" s="5">
        <v>78</v>
      </c>
      <c r="B94" s="62"/>
    </row>
    <row r="95" spans="1:2" ht="12.75">
      <c r="A95" s="5">
        <v>79</v>
      </c>
      <c r="B95" s="62"/>
    </row>
    <row r="96" spans="1:2" ht="12.75">
      <c r="A96" s="5">
        <v>80</v>
      </c>
      <c r="B96" s="62"/>
    </row>
    <row r="97" spans="1:2" ht="12.75">
      <c r="A97" s="5">
        <v>81</v>
      </c>
      <c r="B97" s="62"/>
    </row>
    <row r="98" spans="1:2" ht="12.75">
      <c r="A98" s="5">
        <v>82</v>
      </c>
      <c r="B98" s="62"/>
    </row>
    <row r="99" spans="1:2" ht="12.75">
      <c r="A99" s="5">
        <v>83</v>
      </c>
      <c r="B99" s="62"/>
    </row>
    <row r="100" spans="1:2" ht="12.75">
      <c r="A100" s="5">
        <v>84</v>
      </c>
      <c r="B100" s="62"/>
    </row>
    <row r="101" spans="1:2" ht="12.75">
      <c r="A101" s="5">
        <v>85</v>
      </c>
      <c r="B101" s="62"/>
    </row>
    <row r="102" spans="1:2" ht="12.75">
      <c r="A102" s="5">
        <v>86</v>
      </c>
      <c r="B102" s="62"/>
    </row>
    <row r="103" spans="1:2" ht="12.75">
      <c r="A103" s="5">
        <v>87</v>
      </c>
      <c r="B103" s="62"/>
    </row>
    <row r="104" spans="1:2" ht="12.75">
      <c r="A104" s="5">
        <v>88</v>
      </c>
      <c r="B104" s="62"/>
    </row>
    <row r="105" spans="1:2" ht="12.75">
      <c r="A105" s="5">
        <v>89</v>
      </c>
      <c r="B105" s="62"/>
    </row>
    <row r="106" spans="1:2" ht="12.75">
      <c r="A106" s="5">
        <v>90</v>
      </c>
      <c r="B106" s="63"/>
    </row>
    <row r="107" spans="1:2" ht="12.75">
      <c r="A107" s="5">
        <v>91</v>
      </c>
      <c r="B107" s="64" t="s">
        <v>3</v>
      </c>
    </row>
    <row r="108" spans="1:2" ht="12.75">
      <c r="A108" s="5">
        <v>92</v>
      </c>
      <c r="B108" s="64"/>
    </row>
    <row r="109" spans="1:2" ht="12.75">
      <c r="A109" s="5">
        <v>93</v>
      </c>
      <c r="B109" s="64"/>
    </row>
    <row r="110" spans="1:2" ht="12.75">
      <c r="A110" s="5">
        <v>94</v>
      </c>
      <c r="B110" s="64"/>
    </row>
    <row r="111" spans="1:2" ht="12.75">
      <c r="A111" s="5">
        <v>95</v>
      </c>
      <c r="B111" s="64"/>
    </row>
    <row r="112" spans="1:2" ht="12.75">
      <c r="A112" s="5">
        <v>96</v>
      </c>
      <c r="B112" s="64"/>
    </row>
    <row r="113" spans="1:2" ht="12.75">
      <c r="A113" s="5">
        <v>97</v>
      </c>
      <c r="B113" s="64"/>
    </row>
    <row r="114" spans="1:2" ht="12.75">
      <c r="A114" s="5">
        <v>98</v>
      </c>
      <c r="B114" s="64"/>
    </row>
    <row r="115" spans="1:2" ht="12.75">
      <c r="A115" s="5">
        <v>99</v>
      </c>
      <c r="B115" s="64"/>
    </row>
    <row r="116" spans="1:2" ht="12.75">
      <c r="A116" s="5">
        <v>100</v>
      </c>
      <c r="B116" s="64"/>
    </row>
    <row r="117" spans="1:2" ht="12.75">
      <c r="A117" s="5">
        <v>101</v>
      </c>
      <c r="B117" s="64"/>
    </row>
    <row r="118" spans="1:2" ht="12.75">
      <c r="A118" s="5">
        <v>102</v>
      </c>
      <c r="B118" s="64"/>
    </row>
    <row r="119" spans="1:2" ht="12.75">
      <c r="A119" s="5">
        <v>103</v>
      </c>
      <c r="B119" s="64"/>
    </row>
    <row r="120" spans="1:2" ht="12.75">
      <c r="A120" s="5">
        <v>104</v>
      </c>
      <c r="B120" s="64"/>
    </row>
    <row r="121" spans="1:2" ht="12.75">
      <c r="A121" s="5">
        <v>105</v>
      </c>
      <c r="B121" s="64"/>
    </row>
    <row r="122" spans="1:2" ht="12.75">
      <c r="A122" s="5">
        <v>106</v>
      </c>
      <c r="B122" s="64"/>
    </row>
    <row r="123" spans="1:2" ht="12.75">
      <c r="A123" s="5">
        <v>107</v>
      </c>
      <c r="B123" s="64"/>
    </row>
    <row r="124" spans="1:2" ht="12.75">
      <c r="A124" s="5">
        <v>108</v>
      </c>
      <c r="B124" s="64"/>
    </row>
    <row r="125" spans="1:2" ht="12.75">
      <c r="A125" s="5">
        <v>109</v>
      </c>
      <c r="B125" s="64"/>
    </row>
    <row r="126" spans="1:2" ht="12.75">
      <c r="A126" s="5">
        <v>110</v>
      </c>
      <c r="B126" s="64"/>
    </row>
    <row r="127" spans="1:2" ht="12.75">
      <c r="A127" s="5">
        <v>111</v>
      </c>
      <c r="B127" s="64"/>
    </row>
    <row r="128" spans="1:2" ht="12.75">
      <c r="A128" s="5">
        <v>112</v>
      </c>
      <c r="B128" s="64"/>
    </row>
    <row r="129" spans="1:2" ht="12.75">
      <c r="A129" s="5">
        <v>113</v>
      </c>
      <c r="B129" s="64"/>
    </row>
    <row r="130" spans="1:2" ht="12.75">
      <c r="A130" s="5">
        <v>114</v>
      </c>
      <c r="B130" s="64"/>
    </row>
    <row r="131" spans="1:2" ht="12.75">
      <c r="A131" s="5">
        <v>115</v>
      </c>
      <c r="B131" s="64"/>
    </row>
    <row r="132" spans="1:2" ht="12.75">
      <c r="A132" s="5">
        <v>116</v>
      </c>
      <c r="B132" s="64"/>
    </row>
    <row r="133" spans="1:2" ht="12.75">
      <c r="A133" s="5">
        <v>117</v>
      </c>
      <c r="B133" s="64"/>
    </row>
    <row r="134" spans="1:2" ht="12.75">
      <c r="A134" s="5">
        <v>118</v>
      </c>
      <c r="B134" s="64"/>
    </row>
    <row r="135" spans="1:2" ht="12.75">
      <c r="A135" s="5">
        <v>119</v>
      </c>
      <c r="B135" s="64"/>
    </row>
    <row r="136" spans="1:2" ht="12.75">
      <c r="A136" s="5">
        <v>120</v>
      </c>
      <c r="B136" s="64"/>
    </row>
    <row r="137" spans="1:2" ht="12.75">
      <c r="A137" s="5">
        <v>121</v>
      </c>
      <c r="B137" s="61" t="s">
        <v>4</v>
      </c>
    </row>
    <row r="138" spans="1:2" ht="12.75">
      <c r="A138" s="5">
        <v>122</v>
      </c>
      <c r="B138" s="62"/>
    </row>
    <row r="139" spans="1:2" ht="12.75">
      <c r="A139" s="5">
        <v>123</v>
      </c>
      <c r="B139" s="62"/>
    </row>
    <row r="140" spans="1:2" ht="12.75">
      <c r="A140" s="5">
        <v>124</v>
      </c>
      <c r="B140" s="62"/>
    </row>
    <row r="141" spans="1:2" ht="12.75">
      <c r="A141" s="5">
        <v>125</v>
      </c>
      <c r="B141" s="62"/>
    </row>
    <row r="142" spans="1:2" ht="12.75">
      <c r="A142" s="5">
        <v>126</v>
      </c>
      <c r="B142" s="62"/>
    </row>
    <row r="143" spans="1:2" ht="12.75">
      <c r="A143" s="5">
        <v>127</v>
      </c>
      <c r="B143" s="62"/>
    </row>
    <row r="144" spans="1:2" ht="12.75">
      <c r="A144" s="5">
        <v>128</v>
      </c>
      <c r="B144" s="62"/>
    </row>
    <row r="145" spans="1:2" ht="12.75">
      <c r="A145" s="5">
        <v>129</v>
      </c>
      <c r="B145" s="62"/>
    </row>
    <row r="146" spans="1:2" ht="12.75">
      <c r="A146" s="5">
        <v>130</v>
      </c>
      <c r="B146" s="62"/>
    </row>
    <row r="147" spans="1:2" ht="12.75">
      <c r="A147" s="5">
        <v>131</v>
      </c>
      <c r="B147" s="62"/>
    </row>
    <row r="148" spans="1:2" ht="12.75">
      <c r="A148" s="5">
        <v>132</v>
      </c>
      <c r="B148" s="62"/>
    </row>
    <row r="149" spans="1:2" ht="12.75">
      <c r="A149" s="5">
        <v>133</v>
      </c>
      <c r="B149" s="62"/>
    </row>
    <row r="150" spans="1:2" ht="12.75">
      <c r="A150" s="5">
        <v>134</v>
      </c>
      <c r="B150" s="62"/>
    </row>
    <row r="151" spans="1:2" ht="12.75">
      <c r="A151" s="5">
        <v>135</v>
      </c>
      <c r="B151" s="62"/>
    </row>
    <row r="152" spans="1:2" ht="12.75">
      <c r="A152" s="5">
        <v>136</v>
      </c>
      <c r="B152" s="62"/>
    </row>
    <row r="153" spans="1:2" ht="12.75">
      <c r="A153" s="5">
        <v>137</v>
      </c>
      <c r="B153" s="62"/>
    </row>
    <row r="154" spans="1:2" ht="12.75">
      <c r="A154" s="5">
        <v>138</v>
      </c>
      <c r="B154" s="62"/>
    </row>
    <row r="155" spans="1:2" ht="12.75">
      <c r="A155" s="5">
        <v>139</v>
      </c>
      <c r="B155" s="62"/>
    </row>
    <row r="156" spans="1:2" ht="12.75">
      <c r="A156" s="5">
        <v>140</v>
      </c>
      <c r="B156" s="62"/>
    </row>
    <row r="157" spans="1:2" ht="12.75">
      <c r="A157" s="5">
        <v>141</v>
      </c>
      <c r="B157" s="62"/>
    </row>
    <row r="158" spans="1:2" ht="12.75">
      <c r="A158" s="5">
        <v>142</v>
      </c>
      <c r="B158" s="62"/>
    </row>
    <row r="159" spans="1:2" ht="12.75">
      <c r="A159" s="5">
        <v>143</v>
      </c>
      <c r="B159" s="62"/>
    </row>
    <row r="160" spans="1:2" ht="12.75">
      <c r="A160" s="5">
        <v>144</v>
      </c>
      <c r="B160" s="62"/>
    </row>
    <row r="161" spans="1:2" ht="12.75">
      <c r="A161" s="5">
        <v>145</v>
      </c>
      <c r="B161" s="62"/>
    </row>
    <row r="162" spans="1:2" ht="12.75">
      <c r="A162" s="5">
        <v>146</v>
      </c>
      <c r="B162" s="62"/>
    </row>
    <row r="163" spans="1:2" ht="12.75">
      <c r="A163" s="5">
        <v>147</v>
      </c>
      <c r="B163" s="62"/>
    </row>
    <row r="164" spans="1:2" ht="12.75">
      <c r="A164" s="5">
        <v>148</v>
      </c>
      <c r="B164" s="62"/>
    </row>
    <row r="165" spans="1:2" ht="12.75">
      <c r="A165" s="5">
        <v>149</v>
      </c>
      <c r="B165" s="62"/>
    </row>
    <row r="166" spans="1:2" ht="12.75">
      <c r="A166" s="5">
        <v>150</v>
      </c>
      <c r="B166" s="62"/>
    </row>
    <row r="167" spans="1:2" ht="12.75">
      <c r="A167" s="5">
        <v>151</v>
      </c>
      <c r="B167" s="63"/>
    </row>
    <row r="168" spans="1:2" ht="12.75">
      <c r="A168" s="5">
        <v>152</v>
      </c>
      <c r="B168" s="61" t="s">
        <v>5</v>
      </c>
    </row>
    <row r="169" spans="1:2" ht="12.75">
      <c r="A169" s="5">
        <v>153</v>
      </c>
      <c r="B169" s="62"/>
    </row>
    <row r="170" spans="1:2" ht="12.75">
      <c r="A170" s="5">
        <v>154</v>
      </c>
      <c r="B170" s="62"/>
    </row>
    <row r="171" spans="1:2" ht="12.75">
      <c r="A171" s="5">
        <v>155</v>
      </c>
      <c r="B171" s="62"/>
    </row>
    <row r="172" spans="1:2" ht="12.75">
      <c r="A172" s="5">
        <v>156</v>
      </c>
      <c r="B172" s="62"/>
    </row>
    <row r="173" spans="1:2" ht="12.75">
      <c r="A173" s="5">
        <v>157</v>
      </c>
      <c r="B173" s="62"/>
    </row>
    <row r="174" spans="1:2" ht="12.75">
      <c r="A174" s="5">
        <v>158</v>
      </c>
      <c r="B174" s="62"/>
    </row>
    <row r="175" spans="1:2" ht="12.75">
      <c r="A175" s="5">
        <v>159</v>
      </c>
      <c r="B175" s="62"/>
    </row>
    <row r="176" spans="1:2" ht="12.75">
      <c r="A176" s="5">
        <v>160</v>
      </c>
      <c r="B176" s="62"/>
    </row>
    <row r="177" spans="1:2" ht="12.75">
      <c r="A177" s="5">
        <v>161</v>
      </c>
      <c r="B177" s="62"/>
    </row>
    <row r="178" spans="1:2" ht="12.75">
      <c r="A178" s="5">
        <v>162</v>
      </c>
      <c r="B178" s="62"/>
    </row>
    <row r="179" spans="1:2" ht="12.75">
      <c r="A179" s="5">
        <v>163</v>
      </c>
      <c r="B179" s="62"/>
    </row>
    <row r="180" spans="1:2" ht="12.75">
      <c r="A180" s="5">
        <v>164</v>
      </c>
      <c r="B180" s="62"/>
    </row>
    <row r="181" spans="1:2" ht="12.75">
      <c r="A181" s="5">
        <v>165</v>
      </c>
      <c r="B181" s="62"/>
    </row>
    <row r="182" spans="1:2" ht="12.75">
      <c r="A182" s="5">
        <v>166</v>
      </c>
      <c r="B182" s="62"/>
    </row>
    <row r="183" spans="1:2" ht="12.75">
      <c r="A183" s="5">
        <v>167</v>
      </c>
      <c r="B183" s="62"/>
    </row>
    <row r="184" spans="1:2" ht="12.75">
      <c r="A184" s="5">
        <v>168</v>
      </c>
      <c r="B184" s="62"/>
    </row>
    <row r="185" spans="1:2" ht="12.75">
      <c r="A185" s="5">
        <v>169</v>
      </c>
      <c r="B185" s="62"/>
    </row>
    <row r="186" spans="1:2" ht="12.75">
      <c r="A186" s="5">
        <v>170</v>
      </c>
      <c r="B186" s="62"/>
    </row>
    <row r="187" spans="1:2" ht="12.75">
      <c r="A187" s="5">
        <v>171</v>
      </c>
      <c r="B187" s="62"/>
    </row>
    <row r="188" spans="1:2" ht="12.75">
      <c r="A188" s="5">
        <v>172</v>
      </c>
      <c r="B188" s="62"/>
    </row>
    <row r="189" spans="1:2" ht="12.75">
      <c r="A189" s="5">
        <v>173</v>
      </c>
      <c r="B189" s="62"/>
    </row>
    <row r="190" spans="1:2" ht="12.75">
      <c r="A190" s="5">
        <v>174</v>
      </c>
      <c r="B190" s="62"/>
    </row>
    <row r="191" spans="1:2" ht="12.75">
      <c r="A191" s="5">
        <v>175</v>
      </c>
      <c r="B191" s="62"/>
    </row>
    <row r="192" spans="1:2" ht="12.75">
      <c r="A192" s="5">
        <v>176</v>
      </c>
      <c r="B192" s="62"/>
    </row>
    <row r="193" spans="1:2" ht="12.75">
      <c r="A193" s="5">
        <v>177</v>
      </c>
      <c r="B193" s="62"/>
    </row>
    <row r="194" spans="1:2" ht="12.75">
      <c r="A194" s="5">
        <v>178</v>
      </c>
      <c r="B194" s="62"/>
    </row>
    <row r="195" spans="1:2" ht="12.75">
      <c r="A195" s="5">
        <v>179</v>
      </c>
      <c r="B195" s="62"/>
    </row>
    <row r="196" spans="1:2" ht="12.75">
      <c r="A196" s="5">
        <v>180</v>
      </c>
      <c r="B196" s="62"/>
    </row>
    <row r="197" spans="1:2" ht="12.75">
      <c r="A197" s="5">
        <v>181</v>
      </c>
      <c r="B197" s="63"/>
    </row>
    <row r="198" spans="1:2" ht="12.75">
      <c r="A198" s="5">
        <v>182</v>
      </c>
      <c r="B198" s="61" t="s">
        <v>6</v>
      </c>
    </row>
    <row r="199" spans="1:2" ht="12.75">
      <c r="A199" s="5">
        <v>183</v>
      </c>
      <c r="B199" s="62"/>
    </row>
    <row r="200" spans="1:2" ht="12.75">
      <c r="A200" s="5">
        <v>184</v>
      </c>
      <c r="B200" s="62"/>
    </row>
    <row r="201" spans="1:2" ht="12.75">
      <c r="A201" s="5">
        <v>185</v>
      </c>
      <c r="B201" s="62"/>
    </row>
    <row r="202" spans="1:2" ht="12.75">
      <c r="A202" s="5">
        <v>186</v>
      </c>
      <c r="B202" s="62"/>
    </row>
    <row r="203" spans="1:2" ht="12.75">
      <c r="A203" s="5">
        <v>187</v>
      </c>
      <c r="B203" s="62"/>
    </row>
    <row r="204" spans="1:2" ht="12.75">
      <c r="A204" s="5">
        <v>188</v>
      </c>
      <c r="B204" s="62"/>
    </row>
    <row r="205" spans="1:2" ht="12.75">
      <c r="A205" s="5">
        <v>189</v>
      </c>
      <c r="B205" s="62"/>
    </row>
    <row r="206" spans="1:2" ht="12.75">
      <c r="A206" s="5">
        <v>190</v>
      </c>
      <c r="B206" s="62"/>
    </row>
    <row r="207" spans="1:2" ht="12.75">
      <c r="A207" s="5">
        <v>191</v>
      </c>
      <c r="B207" s="62"/>
    </row>
    <row r="208" spans="1:2" ht="12.75">
      <c r="A208" s="5">
        <v>192</v>
      </c>
      <c r="B208" s="62"/>
    </row>
    <row r="209" spans="1:2" ht="12.75">
      <c r="A209" s="5">
        <v>193</v>
      </c>
      <c r="B209" s="62"/>
    </row>
    <row r="210" spans="1:2" ht="12.75">
      <c r="A210" s="5">
        <v>194</v>
      </c>
      <c r="B210" s="62"/>
    </row>
    <row r="211" spans="1:2" ht="12.75">
      <c r="A211" s="5">
        <v>195</v>
      </c>
      <c r="B211" s="62"/>
    </row>
    <row r="212" spans="1:2" ht="12.75">
      <c r="A212" s="5">
        <v>196</v>
      </c>
      <c r="B212" s="62"/>
    </row>
    <row r="213" spans="1:2" ht="12.75">
      <c r="A213" s="5">
        <v>197</v>
      </c>
      <c r="B213" s="62"/>
    </row>
    <row r="214" spans="1:2" ht="12.75">
      <c r="A214" s="5">
        <v>198</v>
      </c>
      <c r="B214" s="62"/>
    </row>
    <row r="215" spans="1:2" ht="12.75">
      <c r="A215" s="5">
        <v>199</v>
      </c>
      <c r="B215" s="62"/>
    </row>
    <row r="216" spans="1:2" ht="12.75">
      <c r="A216" s="5">
        <v>200</v>
      </c>
      <c r="B216" s="62"/>
    </row>
    <row r="217" spans="1:2" ht="12.75">
      <c r="A217" s="5">
        <v>201</v>
      </c>
      <c r="B217" s="62"/>
    </row>
    <row r="218" spans="1:2" ht="12.75">
      <c r="A218" s="5">
        <v>202</v>
      </c>
      <c r="B218" s="62"/>
    </row>
    <row r="219" spans="1:2" ht="12.75">
      <c r="A219" s="5">
        <v>203</v>
      </c>
      <c r="B219" s="62"/>
    </row>
    <row r="220" spans="1:2" ht="12.75">
      <c r="A220" s="5">
        <v>204</v>
      </c>
      <c r="B220" s="62"/>
    </row>
    <row r="221" spans="1:2" ht="12.75">
      <c r="A221" s="5">
        <v>205</v>
      </c>
      <c r="B221" s="62"/>
    </row>
    <row r="222" spans="1:2" ht="12.75">
      <c r="A222" s="5">
        <v>206</v>
      </c>
      <c r="B222" s="62"/>
    </row>
    <row r="223" spans="1:2" ht="12.75">
      <c r="A223" s="5">
        <v>207</v>
      </c>
      <c r="B223" s="62"/>
    </row>
    <row r="224" spans="1:2" ht="12.75">
      <c r="A224" s="5">
        <v>208</v>
      </c>
      <c r="B224" s="62"/>
    </row>
    <row r="225" spans="1:2" ht="12.75">
      <c r="A225" s="5">
        <v>209</v>
      </c>
      <c r="B225" s="62"/>
    </row>
    <row r="226" spans="1:2" ht="12.75">
      <c r="A226" s="5">
        <v>210</v>
      </c>
      <c r="B226" s="62"/>
    </row>
    <row r="227" spans="1:2" ht="12.75">
      <c r="A227" s="5">
        <v>211</v>
      </c>
      <c r="B227" s="62"/>
    </row>
    <row r="228" spans="1:2" ht="12.75">
      <c r="A228" s="5">
        <v>212</v>
      </c>
      <c r="B228" s="63"/>
    </row>
    <row r="229" spans="1:2" ht="12.75">
      <c r="A229" s="5">
        <v>213</v>
      </c>
      <c r="B229" s="61" t="s">
        <v>7</v>
      </c>
    </row>
    <row r="230" spans="1:2" ht="12.75">
      <c r="A230" s="5">
        <v>214</v>
      </c>
      <c r="B230" s="62"/>
    </row>
    <row r="231" spans="1:2" ht="12.75">
      <c r="A231" s="5">
        <v>215</v>
      </c>
      <c r="B231" s="62"/>
    </row>
    <row r="232" spans="1:2" ht="12.75">
      <c r="A232" s="5">
        <v>216</v>
      </c>
      <c r="B232" s="62"/>
    </row>
    <row r="233" spans="1:2" ht="12.75">
      <c r="A233" s="5">
        <v>217</v>
      </c>
      <c r="B233" s="62"/>
    </row>
    <row r="234" spans="1:2" ht="12.75">
      <c r="A234" s="5">
        <v>218</v>
      </c>
      <c r="B234" s="62"/>
    </row>
    <row r="235" spans="1:2" ht="12.75">
      <c r="A235" s="5">
        <v>219</v>
      </c>
      <c r="B235" s="62"/>
    </row>
    <row r="236" spans="1:2" ht="12.75">
      <c r="A236" s="5">
        <v>220</v>
      </c>
      <c r="B236" s="62"/>
    </row>
    <row r="237" spans="1:2" ht="12.75">
      <c r="A237" s="5">
        <v>221</v>
      </c>
      <c r="B237" s="62"/>
    </row>
    <row r="238" spans="1:2" ht="12.75">
      <c r="A238" s="5">
        <v>222</v>
      </c>
      <c r="B238" s="62"/>
    </row>
    <row r="239" spans="1:2" ht="12.75">
      <c r="A239" s="5">
        <v>223</v>
      </c>
      <c r="B239" s="62"/>
    </row>
    <row r="240" spans="1:2" ht="12.75">
      <c r="A240" s="5">
        <v>224</v>
      </c>
      <c r="B240" s="62"/>
    </row>
    <row r="241" spans="1:2" ht="12.75">
      <c r="A241" s="5">
        <v>225</v>
      </c>
      <c r="B241" s="62"/>
    </row>
    <row r="242" spans="1:2" ht="12.75">
      <c r="A242" s="5">
        <v>226</v>
      </c>
      <c r="B242" s="62"/>
    </row>
    <row r="243" spans="1:2" ht="12.75">
      <c r="A243" s="5">
        <v>227</v>
      </c>
      <c r="B243" s="62"/>
    </row>
    <row r="244" spans="1:2" ht="12.75">
      <c r="A244" s="5">
        <v>228</v>
      </c>
      <c r="B244" s="62"/>
    </row>
    <row r="245" spans="1:2" ht="12.75">
      <c r="A245" s="5">
        <v>229</v>
      </c>
      <c r="B245" s="62"/>
    </row>
    <row r="246" spans="1:2" ht="12.75">
      <c r="A246" s="5">
        <v>230</v>
      </c>
      <c r="B246" s="62"/>
    </row>
    <row r="247" spans="1:2" ht="12.75">
      <c r="A247" s="5">
        <v>231</v>
      </c>
      <c r="B247" s="62"/>
    </row>
    <row r="248" spans="1:2" ht="12.75">
      <c r="A248" s="5">
        <v>232</v>
      </c>
      <c r="B248" s="62"/>
    </row>
    <row r="249" spans="1:2" ht="12.75">
      <c r="A249" s="5">
        <v>233</v>
      </c>
      <c r="B249" s="62"/>
    </row>
    <row r="250" spans="1:2" ht="12.75">
      <c r="A250" s="5">
        <v>234</v>
      </c>
      <c r="B250" s="62"/>
    </row>
    <row r="251" spans="1:2" ht="12.75">
      <c r="A251" s="5">
        <v>235</v>
      </c>
      <c r="B251" s="62"/>
    </row>
    <row r="252" spans="1:2" ht="12.75">
      <c r="A252" s="5">
        <v>236</v>
      </c>
      <c r="B252" s="62"/>
    </row>
    <row r="253" spans="1:2" ht="12.75">
      <c r="A253" s="5">
        <v>237</v>
      </c>
      <c r="B253" s="62"/>
    </row>
    <row r="254" spans="1:2" ht="12.75">
      <c r="A254" s="5">
        <v>238</v>
      </c>
      <c r="B254" s="62"/>
    </row>
    <row r="255" spans="1:2" ht="12.75">
      <c r="A255" s="5">
        <v>239</v>
      </c>
      <c r="B255" s="62"/>
    </row>
    <row r="256" spans="1:2" ht="12.75">
      <c r="A256" s="5">
        <v>240</v>
      </c>
      <c r="B256" s="62"/>
    </row>
    <row r="257" spans="1:2" ht="12.75">
      <c r="A257" s="5">
        <v>241</v>
      </c>
      <c r="B257" s="62"/>
    </row>
    <row r="258" spans="1:2" ht="12.75">
      <c r="A258" s="5">
        <v>242</v>
      </c>
      <c r="B258" s="62"/>
    </row>
    <row r="259" spans="1:2" ht="12.75">
      <c r="A259" s="5">
        <v>243</v>
      </c>
      <c r="B259" s="63"/>
    </row>
    <row r="260" spans="1:2" ht="12.75">
      <c r="A260" s="5">
        <v>244</v>
      </c>
      <c r="B260" s="61" t="s">
        <v>8</v>
      </c>
    </row>
    <row r="261" spans="1:2" ht="12.75">
      <c r="A261" s="5">
        <v>245</v>
      </c>
      <c r="B261" s="62"/>
    </row>
    <row r="262" spans="1:2" ht="12.75">
      <c r="A262" s="5">
        <v>246</v>
      </c>
      <c r="B262" s="62"/>
    </row>
    <row r="263" spans="1:2" ht="12.75">
      <c r="A263" s="5">
        <v>247</v>
      </c>
      <c r="B263" s="62"/>
    </row>
    <row r="264" spans="1:2" ht="12.75">
      <c r="A264" s="5">
        <v>248</v>
      </c>
      <c r="B264" s="62"/>
    </row>
    <row r="265" spans="1:2" ht="12.75">
      <c r="A265" s="5">
        <v>249</v>
      </c>
      <c r="B265" s="62"/>
    </row>
    <row r="266" spans="1:2" ht="12.75">
      <c r="A266" s="5">
        <v>250</v>
      </c>
      <c r="B266" s="62"/>
    </row>
    <row r="267" spans="1:2" ht="12.75">
      <c r="A267" s="5">
        <v>251</v>
      </c>
      <c r="B267" s="62"/>
    </row>
    <row r="268" spans="1:2" ht="12.75">
      <c r="A268" s="5">
        <v>252</v>
      </c>
      <c r="B268" s="62"/>
    </row>
    <row r="269" spans="1:2" ht="12.75">
      <c r="A269" s="5">
        <v>253</v>
      </c>
      <c r="B269" s="62"/>
    </row>
    <row r="270" spans="1:2" ht="12.75">
      <c r="A270" s="5">
        <v>254</v>
      </c>
      <c r="B270" s="62"/>
    </row>
    <row r="271" spans="1:2" ht="12.75">
      <c r="A271" s="5">
        <v>255</v>
      </c>
      <c r="B271" s="62"/>
    </row>
    <row r="272" spans="1:2" ht="12.75">
      <c r="A272" s="5">
        <v>256</v>
      </c>
      <c r="B272" s="62"/>
    </row>
    <row r="273" spans="1:2" ht="12.75">
      <c r="A273" s="5">
        <v>257</v>
      </c>
      <c r="B273" s="62"/>
    </row>
    <row r="274" spans="1:2" ht="12.75">
      <c r="A274" s="5">
        <v>258</v>
      </c>
      <c r="B274" s="62"/>
    </row>
    <row r="275" spans="1:2" ht="12.75">
      <c r="A275" s="5">
        <v>259</v>
      </c>
      <c r="B275" s="62"/>
    </row>
    <row r="276" spans="1:2" ht="12.75">
      <c r="A276" s="5">
        <v>260</v>
      </c>
      <c r="B276" s="62"/>
    </row>
    <row r="277" spans="1:2" ht="12.75">
      <c r="A277" s="5">
        <v>261</v>
      </c>
      <c r="B277" s="62"/>
    </row>
    <row r="278" spans="1:2" ht="12.75">
      <c r="A278" s="5">
        <v>262</v>
      </c>
      <c r="B278" s="62"/>
    </row>
    <row r="279" spans="1:2" ht="12.75">
      <c r="A279" s="5">
        <v>263</v>
      </c>
      <c r="B279" s="62"/>
    </row>
    <row r="280" spans="1:2" ht="12.75">
      <c r="A280" s="5">
        <v>264</v>
      </c>
      <c r="B280" s="62"/>
    </row>
    <row r="281" spans="1:2" ht="12.75">
      <c r="A281" s="5">
        <v>265</v>
      </c>
      <c r="B281" s="62"/>
    </row>
    <row r="282" spans="1:2" ht="12.75">
      <c r="A282" s="5">
        <v>266</v>
      </c>
      <c r="B282" s="62"/>
    </row>
    <row r="283" spans="1:2" ht="12.75">
      <c r="A283" s="5">
        <v>267</v>
      </c>
      <c r="B283" s="62"/>
    </row>
    <row r="284" spans="1:2" ht="12.75">
      <c r="A284" s="5">
        <v>268</v>
      </c>
      <c r="B284" s="62"/>
    </row>
    <row r="285" spans="1:2" ht="12.75">
      <c r="A285" s="5">
        <v>269</v>
      </c>
      <c r="B285" s="62"/>
    </row>
    <row r="286" spans="1:2" ht="12.75">
      <c r="A286" s="5">
        <v>270</v>
      </c>
      <c r="B286" s="62"/>
    </row>
    <row r="287" spans="1:2" ht="12.75">
      <c r="A287" s="5">
        <v>271</v>
      </c>
      <c r="B287" s="62"/>
    </row>
    <row r="288" spans="1:2" ht="12.75">
      <c r="A288" s="5">
        <v>272</v>
      </c>
      <c r="B288" s="62"/>
    </row>
    <row r="289" spans="1:2" ht="12.75">
      <c r="A289" s="5">
        <v>273</v>
      </c>
      <c r="B289" s="63"/>
    </row>
    <row r="290" spans="1:2" ht="12.75">
      <c r="A290" s="5">
        <v>274</v>
      </c>
      <c r="B290" s="61" t="s">
        <v>9</v>
      </c>
    </row>
    <row r="291" spans="1:2" ht="12.75">
      <c r="A291" s="5">
        <v>275</v>
      </c>
      <c r="B291" s="62"/>
    </row>
    <row r="292" spans="1:2" ht="12.75">
      <c r="A292" s="5">
        <v>276</v>
      </c>
      <c r="B292" s="62"/>
    </row>
    <row r="293" spans="1:2" ht="12.75">
      <c r="A293" s="5">
        <v>277</v>
      </c>
      <c r="B293" s="62"/>
    </row>
    <row r="294" spans="1:2" ht="12.75">
      <c r="A294" s="5">
        <v>278</v>
      </c>
      <c r="B294" s="62"/>
    </row>
    <row r="295" spans="1:2" ht="12.75">
      <c r="A295" s="5">
        <v>279</v>
      </c>
      <c r="B295" s="62"/>
    </row>
    <row r="296" spans="1:2" ht="12.75">
      <c r="A296" s="5">
        <v>280</v>
      </c>
      <c r="B296" s="62"/>
    </row>
    <row r="297" spans="1:2" ht="12.75">
      <c r="A297" s="5">
        <v>281</v>
      </c>
      <c r="B297" s="62"/>
    </row>
    <row r="298" spans="1:2" ht="12.75">
      <c r="A298" s="5">
        <v>282</v>
      </c>
      <c r="B298" s="62"/>
    </row>
    <row r="299" spans="1:2" ht="12.75">
      <c r="A299" s="5">
        <v>283</v>
      </c>
      <c r="B299" s="62"/>
    </row>
    <row r="300" spans="1:2" ht="12.75">
      <c r="A300" s="5">
        <v>284</v>
      </c>
      <c r="B300" s="62"/>
    </row>
    <row r="301" spans="1:2" ht="12.75">
      <c r="A301" s="5">
        <v>285</v>
      </c>
      <c r="B301" s="62"/>
    </row>
    <row r="302" spans="1:2" ht="12.75">
      <c r="A302" s="5">
        <v>286</v>
      </c>
      <c r="B302" s="62"/>
    </row>
    <row r="303" spans="1:2" ht="12.75">
      <c r="A303" s="5">
        <v>287</v>
      </c>
      <c r="B303" s="62"/>
    </row>
    <row r="304" spans="1:2" ht="12.75">
      <c r="A304" s="5">
        <v>288</v>
      </c>
      <c r="B304" s="62"/>
    </row>
    <row r="305" spans="1:2" ht="12.75">
      <c r="A305" s="5">
        <v>289</v>
      </c>
      <c r="B305" s="62"/>
    </row>
    <row r="306" spans="1:2" ht="12.75">
      <c r="A306" s="5">
        <v>290</v>
      </c>
      <c r="B306" s="62"/>
    </row>
    <row r="307" spans="1:2" ht="12.75">
      <c r="A307" s="5">
        <v>291</v>
      </c>
      <c r="B307" s="62"/>
    </row>
    <row r="308" spans="1:2" ht="12.75">
      <c r="A308" s="5">
        <v>292</v>
      </c>
      <c r="B308" s="62"/>
    </row>
    <row r="309" spans="1:2" ht="12.75">
      <c r="A309" s="5">
        <v>293</v>
      </c>
      <c r="B309" s="62"/>
    </row>
    <row r="310" spans="1:2" ht="12.75">
      <c r="A310" s="5">
        <v>294</v>
      </c>
      <c r="B310" s="62"/>
    </row>
    <row r="311" spans="1:2" ht="12.75">
      <c r="A311" s="5">
        <v>295</v>
      </c>
      <c r="B311" s="62"/>
    </row>
    <row r="312" spans="1:2" ht="12.75">
      <c r="A312" s="5">
        <v>296</v>
      </c>
      <c r="B312" s="62"/>
    </row>
    <row r="313" spans="1:2" ht="12.75">
      <c r="A313" s="5">
        <v>297</v>
      </c>
      <c r="B313" s="62"/>
    </row>
    <row r="314" spans="1:2" ht="12.75">
      <c r="A314" s="5">
        <v>298</v>
      </c>
      <c r="B314" s="62"/>
    </row>
    <row r="315" spans="1:2" ht="12.75">
      <c r="A315" s="5">
        <v>299</v>
      </c>
      <c r="B315" s="62"/>
    </row>
    <row r="316" spans="1:2" ht="12.75">
      <c r="A316" s="5">
        <v>300</v>
      </c>
      <c r="B316" s="62"/>
    </row>
    <row r="317" spans="1:2" ht="12.75">
      <c r="A317" s="5">
        <v>301</v>
      </c>
      <c r="B317" s="62"/>
    </row>
    <row r="318" spans="1:2" ht="12.75">
      <c r="A318" s="5">
        <v>302</v>
      </c>
      <c r="B318" s="62"/>
    </row>
    <row r="319" spans="1:2" ht="12.75">
      <c r="A319" s="5">
        <v>303</v>
      </c>
      <c r="B319" s="62"/>
    </row>
    <row r="320" spans="1:2" ht="12.75">
      <c r="A320" s="5">
        <v>304</v>
      </c>
      <c r="B320" s="63"/>
    </row>
    <row r="321" spans="1:2" ht="12.75">
      <c r="A321" s="5">
        <v>305</v>
      </c>
      <c r="B321" s="61" t="s">
        <v>10</v>
      </c>
    </row>
    <row r="322" spans="1:2" ht="12.75">
      <c r="A322" s="5">
        <v>306</v>
      </c>
      <c r="B322" s="62"/>
    </row>
    <row r="323" spans="1:2" ht="12.75">
      <c r="A323" s="5">
        <v>307</v>
      </c>
      <c r="B323" s="62"/>
    </row>
    <row r="324" spans="1:2" ht="12.75">
      <c r="A324" s="5">
        <v>308</v>
      </c>
      <c r="B324" s="62"/>
    </row>
    <row r="325" spans="1:2" ht="12.75">
      <c r="A325" s="5">
        <v>309</v>
      </c>
      <c r="B325" s="62"/>
    </row>
    <row r="326" spans="1:2" ht="12.75">
      <c r="A326" s="5">
        <v>310</v>
      </c>
      <c r="B326" s="62"/>
    </row>
    <row r="327" spans="1:2" ht="12.75">
      <c r="A327" s="5">
        <v>311</v>
      </c>
      <c r="B327" s="62"/>
    </row>
    <row r="328" spans="1:2" ht="12.75">
      <c r="A328" s="5">
        <v>312</v>
      </c>
      <c r="B328" s="62"/>
    </row>
    <row r="329" spans="1:2" ht="12.75">
      <c r="A329" s="5">
        <v>313</v>
      </c>
      <c r="B329" s="62"/>
    </row>
    <row r="330" spans="1:2" ht="12.75">
      <c r="A330" s="5">
        <v>314</v>
      </c>
      <c r="B330" s="62"/>
    </row>
    <row r="331" spans="1:2" ht="12.75">
      <c r="A331" s="5">
        <v>315</v>
      </c>
      <c r="B331" s="62"/>
    </row>
    <row r="332" spans="1:2" ht="12.75">
      <c r="A332" s="5">
        <v>316</v>
      </c>
      <c r="B332" s="62"/>
    </row>
    <row r="333" spans="1:2" ht="12.75">
      <c r="A333" s="5">
        <v>317</v>
      </c>
      <c r="B333" s="62"/>
    </row>
    <row r="334" spans="1:2" ht="12.75">
      <c r="A334" s="5">
        <v>318</v>
      </c>
      <c r="B334" s="62"/>
    </row>
    <row r="335" spans="1:2" ht="12.75">
      <c r="A335" s="5">
        <v>319</v>
      </c>
      <c r="B335" s="62"/>
    </row>
    <row r="336" spans="1:2" ht="12.75">
      <c r="A336" s="5">
        <v>320</v>
      </c>
      <c r="B336" s="62"/>
    </row>
    <row r="337" spans="1:2" ht="12.75">
      <c r="A337" s="5">
        <v>321</v>
      </c>
      <c r="B337" s="62"/>
    </row>
    <row r="338" spans="1:2" ht="12.75">
      <c r="A338" s="5">
        <v>322</v>
      </c>
      <c r="B338" s="62"/>
    </row>
    <row r="339" spans="1:2" ht="12.75">
      <c r="A339" s="5">
        <v>323</v>
      </c>
      <c r="B339" s="62"/>
    </row>
    <row r="340" spans="1:2" ht="12.75">
      <c r="A340" s="5">
        <v>324</v>
      </c>
      <c r="B340" s="62"/>
    </row>
    <row r="341" spans="1:2" ht="12.75">
      <c r="A341" s="5">
        <v>325</v>
      </c>
      <c r="B341" s="62"/>
    </row>
    <row r="342" spans="1:2" ht="12.75">
      <c r="A342" s="5">
        <v>326</v>
      </c>
      <c r="B342" s="62"/>
    </row>
    <row r="343" spans="1:2" ht="12.75">
      <c r="A343" s="5">
        <v>327</v>
      </c>
      <c r="B343" s="62"/>
    </row>
    <row r="344" spans="1:2" ht="12.75">
      <c r="A344" s="5">
        <v>328</v>
      </c>
      <c r="B344" s="62"/>
    </row>
    <row r="345" spans="1:2" ht="12.75">
      <c r="A345" s="5">
        <v>329</v>
      </c>
      <c r="B345" s="62"/>
    </row>
    <row r="346" spans="1:2" ht="12.75">
      <c r="A346" s="5">
        <v>330</v>
      </c>
      <c r="B346" s="62"/>
    </row>
    <row r="347" spans="1:2" ht="12.75">
      <c r="A347" s="5">
        <v>331</v>
      </c>
      <c r="B347" s="62"/>
    </row>
    <row r="348" spans="1:2" ht="12.75">
      <c r="A348" s="5">
        <v>332</v>
      </c>
      <c r="B348" s="62"/>
    </row>
    <row r="349" spans="1:2" ht="12.75">
      <c r="A349" s="5">
        <v>333</v>
      </c>
      <c r="B349" s="62"/>
    </row>
    <row r="350" spans="1:2" ht="12.75">
      <c r="A350" s="5">
        <v>334</v>
      </c>
      <c r="B350" s="63"/>
    </row>
    <row r="351" spans="1:2" ht="12.75">
      <c r="A351" s="5">
        <v>335</v>
      </c>
      <c r="B351" s="61" t="s">
        <v>11</v>
      </c>
    </row>
    <row r="352" spans="1:2" ht="12.75">
      <c r="A352" s="5">
        <v>336</v>
      </c>
      <c r="B352" s="62"/>
    </row>
    <row r="353" spans="1:2" ht="12.75">
      <c r="A353" s="5">
        <v>337</v>
      </c>
      <c r="B353" s="62"/>
    </row>
    <row r="354" spans="1:2" ht="12.75">
      <c r="A354" s="5">
        <v>338</v>
      </c>
      <c r="B354" s="62"/>
    </row>
    <row r="355" spans="1:2" ht="12.75">
      <c r="A355" s="5">
        <v>339</v>
      </c>
      <c r="B355" s="62"/>
    </row>
    <row r="356" spans="1:2" ht="12.75">
      <c r="A356" s="5">
        <v>340</v>
      </c>
      <c r="B356" s="62"/>
    </row>
    <row r="357" spans="1:2" ht="12.75">
      <c r="A357" s="5">
        <v>341</v>
      </c>
      <c r="B357" s="62"/>
    </row>
    <row r="358" spans="1:2" ht="12.75">
      <c r="A358" s="5">
        <v>342</v>
      </c>
      <c r="B358" s="62"/>
    </row>
    <row r="359" spans="1:2" ht="12.75">
      <c r="A359" s="5">
        <v>343</v>
      </c>
      <c r="B359" s="62"/>
    </row>
    <row r="360" spans="1:2" ht="12.75">
      <c r="A360" s="5">
        <v>344</v>
      </c>
      <c r="B360" s="62"/>
    </row>
    <row r="361" spans="1:2" ht="12.75">
      <c r="A361" s="5">
        <v>345</v>
      </c>
      <c r="B361" s="62"/>
    </row>
    <row r="362" spans="1:2" ht="12.75">
      <c r="A362" s="5">
        <v>346</v>
      </c>
      <c r="B362" s="62"/>
    </row>
    <row r="363" spans="1:2" ht="12.75">
      <c r="A363" s="5">
        <v>347</v>
      </c>
      <c r="B363" s="62"/>
    </row>
    <row r="364" spans="1:2" ht="12.75">
      <c r="A364" s="5">
        <v>348</v>
      </c>
      <c r="B364" s="62"/>
    </row>
    <row r="365" spans="1:2" ht="12.75">
      <c r="A365" s="5">
        <v>349</v>
      </c>
      <c r="B365" s="62"/>
    </row>
    <row r="366" spans="1:2" ht="12.75">
      <c r="A366" s="5">
        <v>350</v>
      </c>
      <c r="B366" s="62"/>
    </row>
    <row r="367" spans="1:2" ht="12.75">
      <c r="A367" s="5">
        <v>351</v>
      </c>
      <c r="B367" s="62"/>
    </row>
    <row r="368" spans="1:2" ht="12.75">
      <c r="A368" s="5">
        <v>352</v>
      </c>
      <c r="B368" s="62"/>
    </row>
    <row r="369" spans="1:2" ht="12.75">
      <c r="A369" s="5">
        <v>353</v>
      </c>
      <c r="B369" s="62"/>
    </row>
    <row r="370" spans="1:2" ht="12.75">
      <c r="A370" s="5">
        <v>354</v>
      </c>
      <c r="B370" s="62"/>
    </row>
    <row r="371" spans="1:2" ht="12.75">
      <c r="A371" s="5">
        <v>355</v>
      </c>
      <c r="B371" s="62"/>
    </row>
    <row r="372" spans="1:2" ht="12.75">
      <c r="A372" s="5">
        <v>356</v>
      </c>
      <c r="B372" s="62"/>
    </row>
    <row r="373" spans="1:2" ht="12.75">
      <c r="A373" s="5">
        <v>357</v>
      </c>
      <c r="B373" s="62"/>
    </row>
    <row r="374" spans="1:2" ht="12.75">
      <c r="A374" s="5">
        <v>358</v>
      </c>
      <c r="B374" s="62"/>
    </row>
    <row r="375" spans="1:2" ht="12.75">
      <c r="A375" s="5">
        <v>359</v>
      </c>
      <c r="B375" s="62"/>
    </row>
    <row r="376" spans="1:2" ht="12.75">
      <c r="A376" s="5">
        <v>360</v>
      </c>
      <c r="B376" s="62"/>
    </row>
    <row r="377" spans="1:2" ht="12.75">
      <c r="A377" s="5">
        <v>361</v>
      </c>
      <c r="B377" s="62"/>
    </row>
    <row r="378" spans="1:2" ht="12.75">
      <c r="A378" s="5">
        <v>362</v>
      </c>
      <c r="B378" s="62"/>
    </row>
    <row r="379" spans="1:2" ht="12.75">
      <c r="A379" s="5">
        <v>363</v>
      </c>
      <c r="B379" s="62"/>
    </row>
    <row r="380" spans="1:2" ht="12.75">
      <c r="A380" s="5">
        <v>364</v>
      </c>
      <c r="B380" s="62"/>
    </row>
    <row r="381" spans="1:2" ht="12.75">
      <c r="A381" s="5">
        <v>365</v>
      </c>
      <c r="B381" s="63"/>
    </row>
  </sheetData>
  <sheetProtection/>
  <mergeCells count="12">
    <mergeCell ref="B321:B350"/>
    <mergeCell ref="B351:B381"/>
    <mergeCell ref="B137:B167"/>
    <mergeCell ref="B168:B197"/>
    <mergeCell ref="B198:B228"/>
    <mergeCell ref="B229:B259"/>
    <mergeCell ref="B47:B75"/>
    <mergeCell ref="B76:B106"/>
    <mergeCell ref="B107:B136"/>
    <mergeCell ref="B16:B46"/>
    <mergeCell ref="B260:B289"/>
    <mergeCell ref="B290:B320"/>
  </mergeCells>
  <printOptions horizontalCentered="1"/>
  <pageMargins left="0.1968503937007874" right="0.1968503937007874" top="0.7874015748031497" bottom="0.7874015748031497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34"/>
  <sheetViews>
    <sheetView view="pageBreakPreview" zoomScale="75" zoomScaleSheetLayoutView="75" zoomScalePageLayoutView="0" workbookViewId="0" topLeftCell="B2">
      <selection activeCell="M33" sqref="M33"/>
    </sheetView>
  </sheetViews>
  <sheetFormatPr defaultColWidth="9.140625" defaultRowHeight="12.75"/>
  <cols>
    <col min="1" max="1" width="7.140625" style="0" customWidth="1"/>
    <col min="2" max="2" width="8.28125" style="0" customWidth="1"/>
    <col min="3" max="3" width="9.7109375" style="0" customWidth="1"/>
    <col min="6" max="6" width="8.28125" style="0" customWidth="1"/>
    <col min="7" max="7" width="9.7109375" style="0" customWidth="1"/>
    <col min="9" max="9" width="7.28125" style="0" customWidth="1"/>
    <col min="11" max="11" width="7.140625" style="0" customWidth="1"/>
    <col min="13" max="13" width="7.28125" style="0" customWidth="1"/>
    <col min="14" max="14" width="10.00390625" style="0" bestFit="1" customWidth="1"/>
    <col min="16" max="16" width="7.7109375" style="0" customWidth="1"/>
    <col min="17" max="17" width="6.57421875" style="0" customWidth="1"/>
    <col min="18" max="18" width="7.8515625" style="0" customWidth="1"/>
    <col min="19" max="19" width="8.7109375" style="0" customWidth="1"/>
    <col min="20" max="20" width="8.00390625" style="0" customWidth="1"/>
    <col min="21" max="21" width="8.140625" style="0" customWidth="1"/>
    <col min="22" max="22" width="7.00390625" style="0" customWidth="1"/>
    <col min="23" max="23" width="7.7109375" style="0" customWidth="1"/>
    <col min="24" max="24" width="6.7109375" style="0" customWidth="1"/>
    <col min="25" max="25" width="7.28125" style="0" customWidth="1"/>
  </cols>
  <sheetData>
    <row r="1" spans="1:5" ht="12.75">
      <c r="A1" s="65">
        <v>39448</v>
      </c>
      <c r="B1" s="65"/>
      <c r="C1" s="8">
        <v>1</v>
      </c>
      <c r="E1">
        <v>3.6</v>
      </c>
    </row>
    <row r="2" spans="1:25" ht="33.75">
      <c r="A2" s="66" t="s">
        <v>12</v>
      </c>
      <c r="B2" s="66" t="s">
        <v>13</v>
      </c>
      <c r="C2" s="9" t="s">
        <v>14</v>
      </c>
      <c r="D2" s="9" t="s">
        <v>15</v>
      </c>
      <c r="E2" s="9" t="s">
        <v>16</v>
      </c>
      <c r="F2" s="9" t="s">
        <v>17</v>
      </c>
      <c r="G2" s="9" t="s">
        <v>18</v>
      </c>
      <c r="H2" s="9" t="s">
        <v>19</v>
      </c>
      <c r="I2" s="9" t="s">
        <v>15</v>
      </c>
      <c r="J2" s="9" t="s">
        <v>20</v>
      </c>
      <c r="K2" s="9" t="s">
        <v>17</v>
      </c>
      <c r="L2" s="9" t="s">
        <v>21</v>
      </c>
      <c r="M2" s="10" t="s">
        <v>22</v>
      </c>
      <c r="N2" s="9" t="s">
        <v>23</v>
      </c>
      <c r="O2" s="9" t="s">
        <v>24</v>
      </c>
      <c r="P2" s="9" t="s">
        <v>15</v>
      </c>
      <c r="Q2" s="9" t="s">
        <v>35</v>
      </c>
      <c r="R2" s="9" t="s">
        <v>44</v>
      </c>
      <c r="S2" s="9" t="s">
        <v>26</v>
      </c>
      <c r="T2" s="10" t="s">
        <v>15</v>
      </c>
      <c r="U2" s="9" t="s">
        <v>27</v>
      </c>
      <c r="V2" s="9" t="s">
        <v>15</v>
      </c>
      <c r="W2" s="9" t="s">
        <v>28</v>
      </c>
      <c r="X2" s="9" t="s">
        <v>17</v>
      </c>
      <c r="Y2" s="10" t="s">
        <v>29</v>
      </c>
    </row>
    <row r="3" spans="1:25" ht="12.75">
      <c r="A3" s="67"/>
      <c r="B3" s="67"/>
      <c r="C3" s="10" t="s">
        <v>30</v>
      </c>
      <c r="D3" s="10"/>
      <c r="E3" s="10" t="s">
        <v>30</v>
      </c>
      <c r="F3" s="10"/>
      <c r="G3" s="10" t="s">
        <v>30</v>
      </c>
      <c r="H3" s="10" t="s">
        <v>31</v>
      </c>
      <c r="I3" s="10"/>
      <c r="J3" s="10" t="s">
        <v>31</v>
      </c>
      <c r="K3" s="10"/>
      <c r="L3" s="10" t="s">
        <v>31</v>
      </c>
      <c r="M3" s="10" t="s">
        <v>32</v>
      </c>
      <c r="N3" s="10" t="s">
        <v>33</v>
      </c>
      <c r="O3" s="10" t="s">
        <v>42</v>
      </c>
      <c r="P3" s="10"/>
      <c r="Q3" s="10"/>
      <c r="R3" s="10" t="s">
        <v>43</v>
      </c>
      <c r="S3" s="10"/>
      <c r="T3" s="10"/>
      <c r="U3" s="10"/>
      <c r="V3" s="10"/>
      <c r="W3" s="10"/>
      <c r="X3" s="10"/>
      <c r="Y3" s="10" t="s">
        <v>32</v>
      </c>
    </row>
    <row r="4" spans="1:25" ht="12.75">
      <c r="A4" s="6">
        <v>2019</v>
      </c>
      <c r="B4" s="53">
        <v>43709</v>
      </c>
      <c r="C4" s="37">
        <v>33.73</v>
      </c>
      <c r="D4" s="6">
        <v>1431</v>
      </c>
      <c r="E4" s="37">
        <v>17.35</v>
      </c>
      <c r="F4" s="6">
        <v>2352</v>
      </c>
      <c r="G4" s="37">
        <v>22.93</v>
      </c>
      <c r="H4" s="37">
        <v>94.9</v>
      </c>
      <c r="I4" s="6">
        <v>2359</v>
      </c>
      <c r="J4" s="37">
        <v>25.26</v>
      </c>
      <c r="K4" s="6">
        <v>1423</v>
      </c>
      <c r="L4" s="37">
        <v>64.91</v>
      </c>
      <c r="M4" s="6">
        <v>6.7</v>
      </c>
      <c r="N4" s="35">
        <v>3.526</v>
      </c>
      <c r="O4" s="39">
        <f>11.67*3.6</f>
        <v>42.012</v>
      </c>
      <c r="P4" s="6">
        <v>1641</v>
      </c>
      <c r="Q4" s="36">
        <v>156.1</v>
      </c>
      <c r="R4" s="37">
        <v>7.15</v>
      </c>
      <c r="S4" s="36">
        <v>597.8</v>
      </c>
      <c r="T4" s="6">
        <v>1301</v>
      </c>
      <c r="U4" s="37">
        <v>18.81</v>
      </c>
      <c r="V4" s="6">
        <v>1218</v>
      </c>
      <c r="W4" s="37">
        <v>-35.22</v>
      </c>
      <c r="X4" s="6">
        <v>2342</v>
      </c>
      <c r="Y4" s="35">
        <v>2.852</v>
      </c>
    </row>
    <row r="5" spans="1:25" ht="12.75">
      <c r="A5" s="6">
        <v>2019</v>
      </c>
      <c r="B5" s="53">
        <v>43710</v>
      </c>
      <c r="C5" s="37">
        <v>30.55</v>
      </c>
      <c r="D5" s="6">
        <v>1604</v>
      </c>
      <c r="E5" s="37">
        <v>16.55</v>
      </c>
      <c r="F5" s="6">
        <v>610</v>
      </c>
      <c r="G5" s="37">
        <v>22.52</v>
      </c>
      <c r="H5" s="37">
        <v>97.3</v>
      </c>
      <c r="I5" s="6">
        <v>732</v>
      </c>
      <c r="J5" s="6">
        <v>38.85</v>
      </c>
      <c r="K5" s="6">
        <v>1603</v>
      </c>
      <c r="L5" s="37">
        <v>73</v>
      </c>
      <c r="M5" s="36">
        <v>9.9</v>
      </c>
      <c r="N5" s="35">
        <v>0.6</v>
      </c>
      <c r="O5" s="35">
        <f>3.8*3.6</f>
        <v>13.68</v>
      </c>
      <c r="P5" s="6">
        <v>147</v>
      </c>
      <c r="Q5" s="36">
        <v>29.03</v>
      </c>
      <c r="R5" s="6">
        <v>7.46</v>
      </c>
      <c r="S5" s="36">
        <v>620.6</v>
      </c>
      <c r="T5" s="6">
        <v>1204</v>
      </c>
      <c r="U5" s="37">
        <v>31.17</v>
      </c>
      <c r="V5" s="6">
        <v>1310</v>
      </c>
      <c r="W5" s="37">
        <v>-36.98</v>
      </c>
      <c r="X5" s="6">
        <v>2358</v>
      </c>
      <c r="Y5" s="35">
        <v>1.678</v>
      </c>
    </row>
    <row r="6" spans="1:25" ht="12.75">
      <c r="A6" s="6">
        <v>2019</v>
      </c>
      <c r="B6" s="53">
        <v>43711</v>
      </c>
      <c r="C6" s="37">
        <v>30.49</v>
      </c>
      <c r="D6" s="6">
        <v>1352</v>
      </c>
      <c r="E6" s="37">
        <v>18.94</v>
      </c>
      <c r="F6" s="6">
        <v>334</v>
      </c>
      <c r="G6" s="37">
        <v>23.2</v>
      </c>
      <c r="H6" s="37">
        <v>91.9</v>
      </c>
      <c r="I6" s="6">
        <v>717</v>
      </c>
      <c r="J6" s="37">
        <v>42.45</v>
      </c>
      <c r="K6" s="6">
        <v>1632</v>
      </c>
      <c r="L6" s="37">
        <v>72.5</v>
      </c>
      <c r="M6" s="36">
        <v>2.5</v>
      </c>
      <c r="N6" s="35">
        <v>1.852</v>
      </c>
      <c r="O6" s="35">
        <f>11.97*3.6</f>
        <v>43.092000000000006</v>
      </c>
      <c r="P6" s="6">
        <v>720</v>
      </c>
      <c r="Q6" s="36">
        <v>90.3</v>
      </c>
      <c r="R6" s="37">
        <v>5.574</v>
      </c>
      <c r="S6" s="36">
        <v>644.7</v>
      </c>
      <c r="T6" s="6">
        <v>1341</v>
      </c>
      <c r="U6" s="37">
        <v>22.28</v>
      </c>
      <c r="V6" s="6">
        <v>1251</v>
      </c>
      <c r="W6" s="37">
        <v>-38.31</v>
      </c>
      <c r="X6" s="6">
        <v>354</v>
      </c>
      <c r="Y6" s="35">
        <v>1.793</v>
      </c>
    </row>
    <row r="7" spans="1:25" ht="12.75">
      <c r="A7" s="6">
        <v>2019</v>
      </c>
      <c r="B7" s="53">
        <v>43712</v>
      </c>
      <c r="C7" s="37">
        <v>34.19</v>
      </c>
      <c r="D7" s="6">
        <v>1431</v>
      </c>
      <c r="E7" s="6">
        <v>19.21</v>
      </c>
      <c r="F7" s="6">
        <v>606</v>
      </c>
      <c r="G7" s="37">
        <v>25.44</v>
      </c>
      <c r="H7" s="37">
        <v>85.9</v>
      </c>
      <c r="I7" s="6">
        <v>0</v>
      </c>
      <c r="J7" s="37">
        <v>25.73</v>
      </c>
      <c r="K7" s="6">
        <v>1429</v>
      </c>
      <c r="L7" s="37">
        <v>58.97</v>
      </c>
      <c r="M7" s="6">
        <v>0</v>
      </c>
      <c r="N7" s="35">
        <v>2.408</v>
      </c>
      <c r="O7" s="39">
        <f>6.5*3.6</f>
        <v>23.400000000000002</v>
      </c>
      <c r="P7" s="6">
        <v>2357</v>
      </c>
      <c r="Q7" s="36">
        <v>120.7</v>
      </c>
      <c r="R7" s="37">
        <v>7.58</v>
      </c>
      <c r="S7" s="36">
        <v>615.6</v>
      </c>
      <c r="T7" s="6">
        <v>1156</v>
      </c>
      <c r="U7" s="37">
        <v>32.38</v>
      </c>
      <c r="V7" s="6">
        <v>1315</v>
      </c>
      <c r="W7" s="37">
        <v>-35.5</v>
      </c>
      <c r="X7" s="38">
        <v>11</v>
      </c>
      <c r="Y7" s="35">
        <v>2.829</v>
      </c>
    </row>
    <row r="8" spans="1:25" ht="12.75">
      <c r="A8" s="6">
        <v>2019</v>
      </c>
      <c r="B8" s="53">
        <v>43713</v>
      </c>
      <c r="C8" s="37">
        <v>32.73</v>
      </c>
      <c r="D8" s="6">
        <v>1501</v>
      </c>
      <c r="E8" s="37">
        <v>16.09</v>
      </c>
      <c r="F8" s="6">
        <v>2356</v>
      </c>
      <c r="G8" s="37">
        <v>23.01</v>
      </c>
      <c r="H8" s="37">
        <v>87.2</v>
      </c>
      <c r="I8" s="6">
        <v>556</v>
      </c>
      <c r="J8" s="37">
        <v>30.43</v>
      </c>
      <c r="K8" s="6">
        <v>1445</v>
      </c>
      <c r="L8" s="37">
        <v>63.73</v>
      </c>
      <c r="M8" s="6">
        <v>0</v>
      </c>
      <c r="N8" s="35">
        <v>4.491</v>
      </c>
      <c r="O8" s="39">
        <f>10.25*3.6</f>
        <v>36.9</v>
      </c>
      <c r="P8" s="6">
        <v>2207</v>
      </c>
      <c r="Q8" s="36">
        <v>106.9</v>
      </c>
      <c r="R8" s="37">
        <v>7.94</v>
      </c>
      <c r="S8" s="36">
        <v>562.9</v>
      </c>
      <c r="T8" s="6">
        <v>1238</v>
      </c>
      <c r="U8" s="37">
        <v>28.15</v>
      </c>
      <c r="V8" s="6">
        <v>1349</v>
      </c>
      <c r="W8" s="37">
        <v>-41.32</v>
      </c>
      <c r="X8" s="6">
        <v>2357</v>
      </c>
      <c r="Y8" s="35">
        <v>2.951</v>
      </c>
    </row>
    <row r="9" spans="1:25" ht="12.75">
      <c r="A9" s="6">
        <v>2019</v>
      </c>
      <c r="B9" s="53">
        <v>43714</v>
      </c>
      <c r="C9" s="37">
        <v>33.07</v>
      </c>
      <c r="D9" s="6">
        <v>1600</v>
      </c>
      <c r="E9" s="6">
        <v>15.76</v>
      </c>
      <c r="F9" s="6">
        <v>54</v>
      </c>
      <c r="G9" s="37">
        <v>23.95</v>
      </c>
      <c r="H9" s="37">
        <v>81.4</v>
      </c>
      <c r="I9" s="6">
        <v>349</v>
      </c>
      <c r="J9" s="37">
        <v>27.91</v>
      </c>
      <c r="K9" s="6">
        <v>1537</v>
      </c>
      <c r="L9" s="37">
        <v>58.98</v>
      </c>
      <c r="M9" s="6">
        <v>0</v>
      </c>
      <c r="N9" s="35">
        <v>3.182</v>
      </c>
      <c r="O9" s="35">
        <f>8.22*3.6</f>
        <v>29.592000000000002</v>
      </c>
      <c r="P9" s="6">
        <v>1921</v>
      </c>
      <c r="Q9" s="36">
        <v>102.7</v>
      </c>
      <c r="R9" s="37">
        <v>8.24</v>
      </c>
      <c r="S9" s="36">
        <v>665.6</v>
      </c>
      <c r="T9" s="6">
        <v>1142</v>
      </c>
      <c r="U9" s="37">
        <v>29.14</v>
      </c>
      <c r="V9" s="6">
        <v>1343</v>
      </c>
      <c r="W9" s="37">
        <v>-41.87</v>
      </c>
      <c r="X9" s="6">
        <v>59</v>
      </c>
      <c r="Y9" s="35">
        <v>2.924</v>
      </c>
    </row>
    <row r="10" spans="1:25" ht="12.75">
      <c r="A10" s="6">
        <v>2019</v>
      </c>
      <c r="B10" s="53">
        <v>43715</v>
      </c>
      <c r="C10" s="37">
        <v>32.68</v>
      </c>
      <c r="D10" s="6">
        <v>1454</v>
      </c>
      <c r="E10" s="37">
        <v>17.68</v>
      </c>
      <c r="F10" s="6">
        <v>602</v>
      </c>
      <c r="G10" s="37">
        <v>24.77</v>
      </c>
      <c r="H10" s="37">
        <v>90.5</v>
      </c>
      <c r="I10" s="6">
        <v>605</v>
      </c>
      <c r="J10" s="37">
        <v>30.04</v>
      </c>
      <c r="K10" s="6">
        <v>1631</v>
      </c>
      <c r="L10" s="37">
        <v>58.64</v>
      </c>
      <c r="M10" s="6">
        <v>0</v>
      </c>
      <c r="N10" s="35">
        <v>1.836</v>
      </c>
      <c r="O10" s="35">
        <f>6.725*3.6</f>
        <v>24.21</v>
      </c>
      <c r="P10" s="6">
        <v>1204</v>
      </c>
      <c r="Q10" s="36">
        <v>35.98</v>
      </c>
      <c r="R10" s="37">
        <v>7.95</v>
      </c>
      <c r="S10" s="36">
        <v>647.1</v>
      </c>
      <c r="T10" s="6">
        <v>1202</v>
      </c>
      <c r="U10" s="37">
        <v>20.25</v>
      </c>
      <c r="V10" s="6">
        <v>1220</v>
      </c>
      <c r="W10" s="37">
        <v>-37.74</v>
      </c>
      <c r="X10" s="6">
        <v>302</v>
      </c>
      <c r="Y10" s="35">
        <v>2.559</v>
      </c>
    </row>
    <row r="11" spans="1:25" ht="12.75">
      <c r="A11" s="6">
        <v>2019</v>
      </c>
      <c r="B11" s="53">
        <v>43716</v>
      </c>
      <c r="C11" s="37">
        <v>33.99</v>
      </c>
      <c r="D11" s="6">
        <v>1540</v>
      </c>
      <c r="E11" s="37">
        <v>19.01</v>
      </c>
      <c r="F11" s="6">
        <v>619</v>
      </c>
      <c r="G11" s="37">
        <v>26.22</v>
      </c>
      <c r="H11" s="37">
        <v>78.8</v>
      </c>
      <c r="I11" s="6">
        <v>645</v>
      </c>
      <c r="J11" s="37">
        <v>25.26</v>
      </c>
      <c r="K11" s="6">
        <v>1648</v>
      </c>
      <c r="L11" s="37">
        <v>49.29</v>
      </c>
      <c r="M11" s="6">
        <v>0</v>
      </c>
      <c r="N11" s="35">
        <v>1.278</v>
      </c>
      <c r="O11" s="35">
        <f>5.45*3.6</f>
        <v>19.62</v>
      </c>
      <c r="P11" s="6">
        <v>959</v>
      </c>
      <c r="Q11" s="36">
        <v>11.02</v>
      </c>
      <c r="R11" s="6">
        <v>8.53</v>
      </c>
      <c r="S11" s="36">
        <v>660.6</v>
      </c>
      <c r="T11" s="6">
        <v>1243</v>
      </c>
      <c r="U11" s="37">
        <v>31.69</v>
      </c>
      <c r="V11" s="6">
        <v>1223</v>
      </c>
      <c r="W11" s="37">
        <v>-38.46</v>
      </c>
      <c r="X11" s="6">
        <v>514</v>
      </c>
      <c r="Y11" s="35">
        <v>2.877</v>
      </c>
    </row>
    <row r="12" spans="1:25" ht="12.75">
      <c r="A12" s="6">
        <v>2019</v>
      </c>
      <c r="B12" s="53">
        <v>43717</v>
      </c>
      <c r="C12" s="37">
        <v>33.93</v>
      </c>
      <c r="D12" s="6">
        <v>1529</v>
      </c>
      <c r="E12" s="37">
        <v>17.82</v>
      </c>
      <c r="F12" s="6">
        <v>625</v>
      </c>
      <c r="G12" s="37">
        <v>26.26</v>
      </c>
      <c r="H12" s="37">
        <v>72.8</v>
      </c>
      <c r="I12" s="6">
        <v>626</v>
      </c>
      <c r="J12" s="37">
        <v>20.82</v>
      </c>
      <c r="K12" s="6">
        <v>1544</v>
      </c>
      <c r="L12" s="37">
        <v>43.32</v>
      </c>
      <c r="M12" s="6">
        <v>0</v>
      </c>
      <c r="N12" s="35">
        <v>1.347</v>
      </c>
      <c r="O12" s="35">
        <f>7.25*3.6</f>
        <v>26.1</v>
      </c>
      <c r="P12" s="6">
        <v>1134</v>
      </c>
      <c r="Q12" s="36">
        <v>66.77</v>
      </c>
      <c r="R12" s="37">
        <v>9.11</v>
      </c>
      <c r="S12" s="36">
        <v>684.9</v>
      </c>
      <c r="T12" s="6">
        <v>1215</v>
      </c>
      <c r="U12" s="34">
        <v>30.1</v>
      </c>
      <c r="V12" s="6">
        <v>1259</v>
      </c>
      <c r="W12" s="37">
        <v>-40.91</v>
      </c>
      <c r="X12" s="6">
        <v>524</v>
      </c>
      <c r="Y12" s="39">
        <v>3.193</v>
      </c>
    </row>
    <row r="13" spans="1:25" ht="12.75">
      <c r="A13" s="6">
        <v>2019</v>
      </c>
      <c r="B13" s="53">
        <v>43718</v>
      </c>
      <c r="C13" s="37">
        <v>36.38</v>
      </c>
      <c r="D13" s="6">
        <v>1449</v>
      </c>
      <c r="E13" s="6">
        <v>17.16</v>
      </c>
      <c r="F13" s="6">
        <v>623</v>
      </c>
      <c r="G13" s="37">
        <v>26.84</v>
      </c>
      <c r="H13" s="37">
        <v>72</v>
      </c>
      <c r="I13" s="6">
        <v>638</v>
      </c>
      <c r="J13" s="6">
        <v>19.69</v>
      </c>
      <c r="K13" s="6">
        <v>1449</v>
      </c>
      <c r="L13" s="37">
        <v>40.93</v>
      </c>
      <c r="M13" s="6">
        <v>0</v>
      </c>
      <c r="N13" s="39">
        <v>1.095</v>
      </c>
      <c r="O13" s="39">
        <f>3.6*6.35</f>
        <v>22.86</v>
      </c>
      <c r="P13" s="6">
        <v>1141</v>
      </c>
      <c r="Q13" s="36">
        <v>311</v>
      </c>
      <c r="R13" s="37">
        <v>8.69</v>
      </c>
      <c r="S13" s="36">
        <v>676.4</v>
      </c>
      <c r="T13" s="6">
        <v>1141</v>
      </c>
      <c r="U13" s="37">
        <v>25.88</v>
      </c>
      <c r="V13" s="6">
        <v>1301</v>
      </c>
      <c r="W13" s="6">
        <v>-41.59</v>
      </c>
      <c r="X13" s="6">
        <v>421</v>
      </c>
      <c r="Y13" s="35">
        <v>3.035</v>
      </c>
    </row>
    <row r="14" spans="1:26" ht="12.75">
      <c r="A14" s="6">
        <v>2019</v>
      </c>
      <c r="B14" s="53">
        <v>43719</v>
      </c>
      <c r="C14" s="6">
        <v>36.71</v>
      </c>
      <c r="D14" s="6">
        <v>1455</v>
      </c>
      <c r="E14" s="37">
        <v>20.87</v>
      </c>
      <c r="F14" s="6">
        <v>644</v>
      </c>
      <c r="G14" s="37">
        <v>28.64</v>
      </c>
      <c r="H14" s="37">
        <v>60.34</v>
      </c>
      <c r="I14" s="6">
        <v>652</v>
      </c>
      <c r="J14" s="37">
        <v>15.78</v>
      </c>
      <c r="K14" s="6">
        <v>1620</v>
      </c>
      <c r="L14" s="37">
        <v>34.55</v>
      </c>
      <c r="M14" s="6">
        <v>0</v>
      </c>
      <c r="N14" s="35">
        <v>1.244</v>
      </c>
      <c r="O14" s="39">
        <f>6.725*3.6</f>
        <v>24.21</v>
      </c>
      <c r="P14" s="6">
        <v>1105</v>
      </c>
      <c r="Q14" s="36">
        <v>341</v>
      </c>
      <c r="R14" s="37">
        <v>9.26</v>
      </c>
      <c r="S14" s="36">
        <v>670.2</v>
      </c>
      <c r="T14" s="6">
        <v>1206</v>
      </c>
      <c r="U14" s="37">
        <v>23.9</v>
      </c>
      <c r="V14" s="6">
        <v>1344</v>
      </c>
      <c r="W14" s="37">
        <v>-38.39</v>
      </c>
      <c r="X14" s="6">
        <v>610</v>
      </c>
      <c r="Y14" s="35">
        <v>3.453</v>
      </c>
      <c r="Z14" s="13"/>
    </row>
    <row r="15" spans="1:25" ht="12.75">
      <c r="A15" s="6">
        <v>2019</v>
      </c>
      <c r="B15" s="53">
        <v>43720</v>
      </c>
      <c r="C15" s="37">
        <v>38.1</v>
      </c>
      <c r="D15" s="6">
        <v>1442</v>
      </c>
      <c r="E15" s="37">
        <v>17.42</v>
      </c>
      <c r="F15" s="6">
        <v>457</v>
      </c>
      <c r="G15" s="37">
        <v>28.59</v>
      </c>
      <c r="H15" s="37">
        <v>72</v>
      </c>
      <c r="I15" s="6">
        <v>455</v>
      </c>
      <c r="J15" s="37">
        <v>12.86</v>
      </c>
      <c r="K15" s="6">
        <v>1549</v>
      </c>
      <c r="L15" s="37">
        <v>31.49</v>
      </c>
      <c r="M15" s="6">
        <v>0</v>
      </c>
      <c r="N15" s="35">
        <v>1.106</v>
      </c>
      <c r="O15" s="39">
        <f>6.65*3.6</f>
        <v>23.94</v>
      </c>
      <c r="P15" s="6">
        <v>1039</v>
      </c>
      <c r="Q15" s="36">
        <v>329.6</v>
      </c>
      <c r="R15" s="37">
        <v>9.23</v>
      </c>
      <c r="S15" s="36">
        <v>668.7</v>
      </c>
      <c r="T15" s="6">
        <v>1158</v>
      </c>
      <c r="U15" s="37">
        <v>31.34</v>
      </c>
      <c r="V15" s="6">
        <v>1306</v>
      </c>
      <c r="W15" s="37">
        <v>-40.82</v>
      </c>
      <c r="X15" s="6">
        <v>628</v>
      </c>
      <c r="Y15" s="35">
        <v>3.565</v>
      </c>
    </row>
    <row r="16" spans="1:25" ht="12.75">
      <c r="A16" s="6">
        <v>2019</v>
      </c>
      <c r="B16" s="53">
        <v>43721</v>
      </c>
      <c r="C16" s="6">
        <v>38.09</v>
      </c>
      <c r="D16" s="6">
        <v>1446</v>
      </c>
      <c r="E16" s="37">
        <v>19.74</v>
      </c>
      <c r="F16" s="6">
        <v>511</v>
      </c>
      <c r="G16" s="37">
        <v>28.42</v>
      </c>
      <c r="H16" s="37">
        <v>63.64</v>
      </c>
      <c r="I16" s="6">
        <v>2359</v>
      </c>
      <c r="J16" s="37">
        <v>12.4</v>
      </c>
      <c r="K16" s="6">
        <v>1447</v>
      </c>
      <c r="L16" s="37">
        <v>35.09</v>
      </c>
      <c r="M16" s="38">
        <v>0</v>
      </c>
      <c r="N16" s="35">
        <v>1.715</v>
      </c>
      <c r="O16" s="39">
        <f>6.275*3.6</f>
        <v>22.590000000000003</v>
      </c>
      <c r="P16" s="6">
        <v>2116</v>
      </c>
      <c r="Q16" s="36">
        <v>114.1</v>
      </c>
      <c r="R16" s="6">
        <v>9.07</v>
      </c>
      <c r="S16" s="36">
        <v>598.3</v>
      </c>
      <c r="T16" s="6">
        <v>1304</v>
      </c>
      <c r="U16" s="37">
        <v>27.86</v>
      </c>
      <c r="V16" s="6">
        <v>1306</v>
      </c>
      <c r="W16" s="6">
        <v>-39.52</v>
      </c>
      <c r="X16" s="6">
        <v>352</v>
      </c>
      <c r="Y16" s="35">
        <v>3.287</v>
      </c>
    </row>
    <row r="17" spans="1:25" ht="12.75">
      <c r="A17" s="6">
        <v>2019</v>
      </c>
      <c r="B17" s="53">
        <v>43722</v>
      </c>
      <c r="C17" s="6">
        <v>36.58</v>
      </c>
      <c r="D17" s="6">
        <v>1449</v>
      </c>
      <c r="E17" s="6">
        <v>19.01</v>
      </c>
      <c r="F17" s="6">
        <v>426</v>
      </c>
      <c r="G17" s="37">
        <v>27.22</v>
      </c>
      <c r="H17" s="37">
        <v>75.3</v>
      </c>
      <c r="I17" s="6">
        <v>425</v>
      </c>
      <c r="J17" s="37">
        <v>16.24</v>
      </c>
      <c r="K17" s="6">
        <v>1543</v>
      </c>
      <c r="L17" s="37">
        <v>44.5</v>
      </c>
      <c r="M17" s="6">
        <v>0</v>
      </c>
      <c r="N17" s="35">
        <v>2.688</v>
      </c>
      <c r="O17" s="39">
        <f>7.7*3.6</f>
        <v>27.720000000000002</v>
      </c>
      <c r="P17" s="6">
        <v>124</v>
      </c>
      <c r="Q17" s="36">
        <v>110.8</v>
      </c>
      <c r="R17" s="37">
        <v>8.48</v>
      </c>
      <c r="S17" s="36">
        <v>668.3</v>
      </c>
      <c r="T17" s="6">
        <v>1224</v>
      </c>
      <c r="U17" s="37">
        <v>22.07</v>
      </c>
      <c r="V17" s="6">
        <v>1323</v>
      </c>
      <c r="W17" s="37">
        <v>-39.58</v>
      </c>
      <c r="X17" s="6">
        <v>406</v>
      </c>
      <c r="Y17" s="35">
        <v>3.346</v>
      </c>
    </row>
    <row r="18" spans="1:25" ht="12.75">
      <c r="A18" s="6">
        <v>2019</v>
      </c>
      <c r="B18" s="53">
        <v>43723</v>
      </c>
      <c r="C18" s="37">
        <v>35.65</v>
      </c>
      <c r="D18" s="6">
        <v>1605</v>
      </c>
      <c r="E18" s="37">
        <v>20.39</v>
      </c>
      <c r="F18" s="6">
        <v>530</v>
      </c>
      <c r="G18" s="37">
        <v>27.89</v>
      </c>
      <c r="H18" s="37">
        <v>62.78</v>
      </c>
      <c r="I18" s="6">
        <v>531</v>
      </c>
      <c r="J18" s="37">
        <v>17.97</v>
      </c>
      <c r="K18" s="6">
        <v>1526</v>
      </c>
      <c r="L18" s="37">
        <v>37.31</v>
      </c>
      <c r="M18" s="6">
        <v>0</v>
      </c>
      <c r="N18" s="35">
        <v>1.674</v>
      </c>
      <c r="O18" s="35">
        <f>7.47*3.6</f>
        <v>26.892</v>
      </c>
      <c r="P18" s="6">
        <v>1446</v>
      </c>
      <c r="Q18" s="36">
        <v>61.2</v>
      </c>
      <c r="R18" s="37">
        <v>9.35</v>
      </c>
      <c r="S18" s="36">
        <v>622.6</v>
      </c>
      <c r="T18" s="6">
        <v>1155</v>
      </c>
      <c r="U18" s="37">
        <v>26.91</v>
      </c>
      <c r="V18" s="6">
        <v>1247</v>
      </c>
      <c r="W18" s="37">
        <v>-42.51</v>
      </c>
      <c r="X18" s="6">
        <v>551</v>
      </c>
      <c r="Y18" s="35">
        <v>3.652</v>
      </c>
    </row>
    <row r="19" spans="1:25" ht="12.75">
      <c r="A19" s="6">
        <v>2019</v>
      </c>
      <c r="B19" s="53">
        <v>43724</v>
      </c>
      <c r="C19" s="37">
        <v>35.45</v>
      </c>
      <c r="D19" s="6">
        <v>1501</v>
      </c>
      <c r="E19" s="37">
        <v>18.21</v>
      </c>
      <c r="F19" s="6">
        <v>540</v>
      </c>
      <c r="G19" s="6">
        <v>26.99</v>
      </c>
      <c r="H19" s="37">
        <v>67.44</v>
      </c>
      <c r="I19" s="6">
        <v>542</v>
      </c>
      <c r="J19" s="37">
        <v>17.7</v>
      </c>
      <c r="K19" s="6">
        <v>1502</v>
      </c>
      <c r="L19" s="6">
        <v>38.64</v>
      </c>
      <c r="M19" s="6">
        <v>0</v>
      </c>
      <c r="N19" s="35">
        <v>1.238</v>
      </c>
      <c r="O19" s="39">
        <f>7.32*3.6</f>
        <v>26.352</v>
      </c>
      <c r="P19" s="6">
        <v>1305</v>
      </c>
      <c r="Q19" s="36">
        <v>87.7</v>
      </c>
      <c r="R19" s="37">
        <v>9.52</v>
      </c>
      <c r="S19" s="36">
        <v>652.7</v>
      </c>
      <c r="T19" s="6">
        <v>1218</v>
      </c>
      <c r="U19" s="37">
        <v>30.25</v>
      </c>
      <c r="V19" s="6">
        <v>1257</v>
      </c>
      <c r="W19" s="6">
        <v>-43.39</v>
      </c>
      <c r="X19" s="6">
        <v>306</v>
      </c>
      <c r="Y19" s="35">
        <v>3.386</v>
      </c>
    </row>
    <row r="20" spans="1:25" ht="12.75">
      <c r="A20" s="6">
        <v>2019</v>
      </c>
      <c r="B20" s="53">
        <v>43725</v>
      </c>
      <c r="C20" s="37">
        <v>36.51</v>
      </c>
      <c r="D20" s="6">
        <v>1441</v>
      </c>
      <c r="E20" s="6">
        <v>17.62</v>
      </c>
      <c r="F20" s="6">
        <v>626</v>
      </c>
      <c r="G20" s="37">
        <v>27.39</v>
      </c>
      <c r="H20" s="37">
        <v>64.06</v>
      </c>
      <c r="I20" s="6">
        <v>630</v>
      </c>
      <c r="J20" s="37">
        <v>15.65</v>
      </c>
      <c r="K20" s="6">
        <v>1519</v>
      </c>
      <c r="L20" s="37">
        <v>35.32</v>
      </c>
      <c r="M20" s="6">
        <v>0</v>
      </c>
      <c r="N20" s="35">
        <v>1.101</v>
      </c>
      <c r="O20" s="39">
        <f>7.02*3.6</f>
        <v>25.272</v>
      </c>
      <c r="P20" s="6">
        <v>1026</v>
      </c>
      <c r="Q20" s="36">
        <v>31.08</v>
      </c>
      <c r="R20" s="37">
        <v>9.73</v>
      </c>
      <c r="S20" s="36">
        <v>690.8</v>
      </c>
      <c r="T20" s="6">
        <v>1217</v>
      </c>
      <c r="U20" s="37">
        <v>23.38</v>
      </c>
      <c r="V20" s="6">
        <v>1340</v>
      </c>
      <c r="W20" s="37">
        <v>-44.81</v>
      </c>
      <c r="X20" s="6">
        <v>551</v>
      </c>
      <c r="Y20" s="39">
        <v>3.531</v>
      </c>
    </row>
    <row r="21" spans="1:25" ht="12.75">
      <c r="A21" s="6">
        <v>2019</v>
      </c>
      <c r="B21" s="53">
        <v>43726</v>
      </c>
      <c r="C21" s="37">
        <v>37.31</v>
      </c>
      <c r="D21" s="6">
        <v>1325</v>
      </c>
      <c r="E21" s="6">
        <v>18.35</v>
      </c>
      <c r="F21" s="6">
        <v>446</v>
      </c>
      <c r="G21" s="37">
        <v>28.23</v>
      </c>
      <c r="H21" s="37">
        <v>57.35</v>
      </c>
      <c r="I21" s="6">
        <v>614</v>
      </c>
      <c r="J21" s="37">
        <v>13.72</v>
      </c>
      <c r="K21" s="6">
        <v>1332</v>
      </c>
      <c r="L21" s="37">
        <v>30.73</v>
      </c>
      <c r="M21" s="6">
        <v>0</v>
      </c>
      <c r="N21" s="35">
        <v>1.642</v>
      </c>
      <c r="O21" s="35">
        <f>8.52*3.6</f>
        <v>30.672</v>
      </c>
      <c r="P21" s="6">
        <v>1240</v>
      </c>
      <c r="Q21" s="36">
        <v>295.5</v>
      </c>
      <c r="R21" s="37">
        <v>9.02</v>
      </c>
      <c r="S21" s="36">
        <v>653</v>
      </c>
      <c r="T21" s="6">
        <v>1203</v>
      </c>
      <c r="U21" s="37">
        <v>12.49</v>
      </c>
      <c r="V21" s="6">
        <v>1304</v>
      </c>
      <c r="W21" s="37">
        <v>-45.9</v>
      </c>
      <c r="X21" s="6">
        <v>239</v>
      </c>
      <c r="Y21" s="35">
        <v>4.382</v>
      </c>
    </row>
    <row r="22" spans="1:27" ht="12.75">
      <c r="A22" s="6">
        <v>2019</v>
      </c>
      <c r="B22" s="53">
        <v>43727</v>
      </c>
      <c r="C22" s="6">
        <v>37.04</v>
      </c>
      <c r="D22" s="6">
        <v>1507</v>
      </c>
      <c r="E22" s="6">
        <v>21.71</v>
      </c>
      <c r="F22" s="6">
        <v>207</v>
      </c>
      <c r="G22" s="37">
        <v>28.74</v>
      </c>
      <c r="H22" s="37">
        <v>53.75</v>
      </c>
      <c r="I22" s="6">
        <v>207</v>
      </c>
      <c r="J22" s="37">
        <v>16.05</v>
      </c>
      <c r="K22" s="6">
        <v>1353</v>
      </c>
      <c r="L22" s="37">
        <v>31.39</v>
      </c>
      <c r="M22" s="38">
        <v>0</v>
      </c>
      <c r="N22" s="35">
        <v>1.506</v>
      </c>
      <c r="O22" s="39">
        <f>7.77*3.6</f>
        <v>27.971999999999998</v>
      </c>
      <c r="P22" s="6">
        <v>1346</v>
      </c>
      <c r="Q22" s="36">
        <v>291.9</v>
      </c>
      <c r="R22" s="37">
        <v>7.16</v>
      </c>
      <c r="S22" s="36">
        <v>653.9</v>
      </c>
      <c r="T22" s="6">
        <v>1047</v>
      </c>
      <c r="U22" s="37">
        <v>5.024</v>
      </c>
      <c r="V22" s="6">
        <v>1246</v>
      </c>
      <c r="W22" s="37">
        <v>-41.4</v>
      </c>
      <c r="X22" s="6">
        <v>125</v>
      </c>
      <c r="Y22" s="35">
        <v>3.693</v>
      </c>
      <c r="AA22" s="27"/>
    </row>
    <row r="23" spans="1:25" ht="12.75">
      <c r="A23" s="6">
        <v>2019</v>
      </c>
      <c r="B23" s="53">
        <v>43728</v>
      </c>
      <c r="C23" s="37">
        <v>35.78</v>
      </c>
      <c r="D23" s="6">
        <v>1331</v>
      </c>
      <c r="E23" s="37">
        <v>19.73</v>
      </c>
      <c r="F23" s="6">
        <v>656</v>
      </c>
      <c r="G23" s="37">
        <v>27.16</v>
      </c>
      <c r="H23" s="37">
        <v>72.1</v>
      </c>
      <c r="I23" s="6">
        <v>2357</v>
      </c>
      <c r="J23" s="37">
        <v>17.3</v>
      </c>
      <c r="K23" s="6">
        <v>1120</v>
      </c>
      <c r="L23" s="37">
        <v>41.86</v>
      </c>
      <c r="M23" s="38">
        <v>0</v>
      </c>
      <c r="N23" s="35">
        <v>1.885</v>
      </c>
      <c r="O23" s="35">
        <f>8.97*3.6</f>
        <v>32.292</v>
      </c>
      <c r="P23" s="6">
        <v>1428</v>
      </c>
      <c r="Q23" s="36">
        <v>167.7</v>
      </c>
      <c r="R23" s="37">
        <v>7.77</v>
      </c>
      <c r="S23" s="36">
        <v>685</v>
      </c>
      <c r="T23" s="6">
        <v>1122</v>
      </c>
      <c r="U23" s="37">
        <v>8.24</v>
      </c>
      <c r="V23" s="6">
        <v>1131</v>
      </c>
      <c r="W23" s="37">
        <v>-41.49</v>
      </c>
      <c r="X23" s="6">
        <v>233</v>
      </c>
      <c r="Y23" s="35">
        <v>3.568</v>
      </c>
    </row>
    <row r="24" spans="1:25" ht="12.75">
      <c r="A24" s="6">
        <v>2019</v>
      </c>
      <c r="B24" s="53">
        <v>43729</v>
      </c>
      <c r="C24" s="6">
        <v>34.39</v>
      </c>
      <c r="D24" s="6">
        <v>1613</v>
      </c>
      <c r="E24" s="6">
        <v>21.45</v>
      </c>
      <c r="F24" s="6">
        <v>609</v>
      </c>
      <c r="G24" s="37">
        <v>26.64</v>
      </c>
      <c r="H24" s="37">
        <v>76</v>
      </c>
      <c r="I24" s="6">
        <v>609</v>
      </c>
      <c r="J24" s="37">
        <v>29.57</v>
      </c>
      <c r="K24" s="6">
        <v>1614</v>
      </c>
      <c r="L24" s="37">
        <v>56.67</v>
      </c>
      <c r="M24" s="6">
        <v>0</v>
      </c>
      <c r="N24" s="39">
        <v>2.056</v>
      </c>
      <c r="O24" s="39">
        <f>6.275*3.6</f>
        <v>22.590000000000003</v>
      </c>
      <c r="P24" s="6">
        <v>736</v>
      </c>
      <c r="Q24" s="36">
        <v>83.2</v>
      </c>
      <c r="R24" s="37">
        <v>6.752</v>
      </c>
      <c r="S24" s="36">
        <v>667.1</v>
      </c>
      <c r="T24" s="6">
        <v>1231</v>
      </c>
      <c r="U24" s="37">
        <v>20.95</v>
      </c>
      <c r="V24" s="6">
        <v>1534</v>
      </c>
      <c r="W24" s="37">
        <v>-37.22</v>
      </c>
      <c r="X24" s="6">
        <v>2343</v>
      </c>
      <c r="Y24" s="35">
        <v>2.294</v>
      </c>
    </row>
    <row r="25" spans="1:25" ht="12.75">
      <c r="A25" s="6">
        <v>2019</v>
      </c>
      <c r="B25" s="53">
        <v>43730</v>
      </c>
      <c r="C25" s="6">
        <v>33.06</v>
      </c>
      <c r="D25" s="6">
        <v>1525</v>
      </c>
      <c r="E25" s="37">
        <v>17.75</v>
      </c>
      <c r="F25" s="6">
        <v>624</v>
      </c>
      <c r="G25" s="6">
        <v>24.33</v>
      </c>
      <c r="H25" s="37">
        <v>82.2</v>
      </c>
      <c r="I25" s="6">
        <v>621</v>
      </c>
      <c r="J25" s="37">
        <v>35.87</v>
      </c>
      <c r="K25" s="6">
        <v>1526</v>
      </c>
      <c r="L25" s="37">
        <v>60.36</v>
      </c>
      <c r="M25" s="6">
        <v>0</v>
      </c>
      <c r="N25" s="39">
        <v>4.253</v>
      </c>
      <c r="O25" s="39">
        <f>9.65*3.6</f>
        <v>34.74</v>
      </c>
      <c r="P25" s="6">
        <v>2042</v>
      </c>
      <c r="Q25" s="36">
        <v>110.8</v>
      </c>
      <c r="R25" s="37">
        <v>9.01</v>
      </c>
      <c r="S25" s="36">
        <v>546.6</v>
      </c>
      <c r="T25" s="6">
        <v>1222</v>
      </c>
      <c r="U25" s="37">
        <v>18.35</v>
      </c>
      <c r="V25" s="6">
        <v>1337</v>
      </c>
      <c r="W25" s="37">
        <v>-41.46</v>
      </c>
      <c r="X25" s="6">
        <v>2356</v>
      </c>
      <c r="Y25" s="35">
        <v>3.346</v>
      </c>
    </row>
    <row r="26" spans="1:26" ht="12.75">
      <c r="A26" s="6">
        <v>2019</v>
      </c>
      <c r="B26" s="53">
        <v>43731</v>
      </c>
      <c r="C26" s="37">
        <v>31.67</v>
      </c>
      <c r="D26" s="6">
        <v>1504</v>
      </c>
      <c r="E26" s="37">
        <v>15.04</v>
      </c>
      <c r="F26" s="6">
        <v>547</v>
      </c>
      <c r="G26" s="6">
        <v>22.48</v>
      </c>
      <c r="H26" s="37">
        <v>74.4</v>
      </c>
      <c r="I26" s="6">
        <v>606</v>
      </c>
      <c r="J26" s="37">
        <v>32.69</v>
      </c>
      <c r="K26" s="6">
        <v>1511</v>
      </c>
      <c r="L26" s="37">
        <v>54.53</v>
      </c>
      <c r="M26" s="6">
        <v>0</v>
      </c>
      <c r="N26" s="39">
        <v>4.636</v>
      </c>
      <c r="O26" s="39">
        <f>9.05*3.6</f>
        <v>32.580000000000005</v>
      </c>
      <c r="P26" s="6">
        <v>204</v>
      </c>
      <c r="Q26" s="36">
        <v>120.7</v>
      </c>
      <c r="R26" s="37">
        <v>9.6</v>
      </c>
      <c r="S26" s="36">
        <v>581.3</v>
      </c>
      <c r="T26" s="6">
        <v>1241</v>
      </c>
      <c r="U26" s="37">
        <v>18.47</v>
      </c>
      <c r="V26" s="6">
        <v>1327</v>
      </c>
      <c r="W26" s="37">
        <v>-44.98</v>
      </c>
      <c r="X26" s="6">
        <v>527</v>
      </c>
      <c r="Y26" s="35">
        <v>3.617</v>
      </c>
      <c r="Z26" s="32"/>
    </row>
    <row r="27" spans="1:25" ht="12.75">
      <c r="A27" s="6">
        <v>2019</v>
      </c>
      <c r="B27" s="53">
        <v>43732</v>
      </c>
      <c r="C27" s="37">
        <v>33.13</v>
      </c>
      <c r="D27" s="6">
        <v>1438</v>
      </c>
      <c r="E27" s="37">
        <v>16.62</v>
      </c>
      <c r="F27" s="6">
        <v>158</v>
      </c>
      <c r="G27" s="37">
        <v>24.4</v>
      </c>
      <c r="H27" s="37">
        <v>72.8</v>
      </c>
      <c r="I27" s="6">
        <v>612</v>
      </c>
      <c r="J27" s="37">
        <v>29.7</v>
      </c>
      <c r="K27" s="6">
        <v>1409</v>
      </c>
      <c r="L27" s="37">
        <v>52.26</v>
      </c>
      <c r="M27" s="38">
        <v>0</v>
      </c>
      <c r="N27" s="35">
        <v>2.199</v>
      </c>
      <c r="O27" s="39">
        <f>7.32*3.6</f>
        <v>26.352</v>
      </c>
      <c r="P27" s="6">
        <v>935</v>
      </c>
      <c r="Q27" s="36">
        <v>44</v>
      </c>
      <c r="R27" s="6">
        <v>8.51</v>
      </c>
      <c r="S27" s="36">
        <v>716</v>
      </c>
      <c r="T27" s="6">
        <v>1230</v>
      </c>
      <c r="U27" s="37">
        <v>18.73</v>
      </c>
      <c r="V27" s="6">
        <v>1413</v>
      </c>
      <c r="W27" s="37">
        <v>-43.37</v>
      </c>
      <c r="X27" s="6">
        <v>305</v>
      </c>
      <c r="Y27" s="35">
        <v>2.762</v>
      </c>
    </row>
    <row r="28" spans="1:26" ht="12.75">
      <c r="A28" s="6">
        <v>2019</v>
      </c>
      <c r="B28" s="53">
        <v>43733</v>
      </c>
      <c r="C28" s="37">
        <v>23.37</v>
      </c>
      <c r="D28" s="6">
        <v>0</v>
      </c>
      <c r="E28" s="37">
        <v>16.62</v>
      </c>
      <c r="F28" s="6">
        <v>2339</v>
      </c>
      <c r="G28" s="6">
        <v>18.44</v>
      </c>
      <c r="H28" s="37">
        <v>96.8</v>
      </c>
      <c r="I28" s="6">
        <v>757</v>
      </c>
      <c r="J28" s="37">
        <v>62.38</v>
      </c>
      <c r="K28" s="6">
        <v>43</v>
      </c>
      <c r="L28" s="37">
        <v>92.8</v>
      </c>
      <c r="M28" s="6">
        <v>33.5</v>
      </c>
      <c r="N28" s="39">
        <v>1.985</v>
      </c>
      <c r="O28" s="39">
        <f>9.57*3.6</f>
        <v>34.452000000000005</v>
      </c>
      <c r="P28" s="6">
        <v>128</v>
      </c>
      <c r="Q28" s="36">
        <v>168.3</v>
      </c>
      <c r="R28" s="37">
        <v>1.342</v>
      </c>
      <c r="S28" s="36">
        <v>175.9</v>
      </c>
      <c r="T28" s="6">
        <v>911</v>
      </c>
      <c r="U28" s="37">
        <v>-10.96</v>
      </c>
      <c r="V28" s="6">
        <v>1551</v>
      </c>
      <c r="W28" s="6">
        <v>-65.88</v>
      </c>
      <c r="X28" s="6">
        <v>430</v>
      </c>
      <c r="Y28" s="35">
        <v>0.229</v>
      </c>
      <c r="Z28" s="27"/>
    </row>
    <row r="29" spans="1:26" ht="12.75">
      <c r="A29" s="6">
        <v>2019</v>
      </c>
      <c r="B29" s="53">
        <v>43734</v>
      </c>
      <c r="C29" s="37">
        <v>20.58</v>
      </c>
      <c r="D29" s="6">
        <v>1544</v>
      </c>
      <c r="E29" s="37">
        <v>16.22</v>
      </c>
      <c r="F29" s="6">
        <v>2352</v>
      </c>
      <c r="G29" s="6">
        <v>17.86</v>
      </c>
      <c r="H29" s="37">
        <v>97.7</v>
      </c>
      <c r="I29" s="6">
        <v>616</v>
      </c>
      <c r="J29" s="6">
        <v>81.2</v>
      </c>
      <c r="K29" s="6">
        <v>1545</v>
      </c>
      <c r="L29" s="37">
        <v>93.8</v>
      </c>
      <c r="M29" s="36">
        <v>7.8</v>
      </c>
      <c r="N29" s="35">
        <v>0.719</v>
      </c>
      <c r="O29" s="39">
        <f>3.275*3.6</f>
        <v>11.79</v>
      </c>
      <c r="P29" s="6">
        <v>156</v>
      </c>
      <c r="Q29" s="36">
        <v>52.12</v>
      </c>
      <c r="R29" s="37">
        <v>1.703</v>
      </c>
      <c r="S29" s="36">
        <v>169</v>
      </c>
      <c r="T29" s="6">
        <v>1518</v>
      </c>
      <c r="U29" s="37">
        <v>9.63</v>
      </c>
      <c r="V29" s="6">
        <v>1503</v>
      </c>
      <c r="W29" s="37">
        <v>-22.4</v>
      </c>
      <c r="X29" s="6">
        <v>2359</v>
      </c>
      <c r="Y29" s="35">
        <v>0.245</v>
      </c>
      <c r="Z29" s="27"/>
    </row>
    <row r="30" spans="1:25" ht="12.75">
      <c r="A30" s="6">
        <v>2019</v>
      </c>
      <c r="B30" s="53">
        <v>43735</v>
      </c>
      <c r="C30" s="37">
        <v>27.78</v>
      </c>
      <c r="D30" s="6">
        <v>1431</v>
      </c>
      <c r="E30" s="6">
        <v>14.18</v>
      </c>
      <c r="F30" s="6">
        <v>544</v>
      </c>
      <c r="G30" s="6">
        <v>20.38</v>
      </c>
      <c r="H30" s="37">
        <v>97.5</v>
      </c>
      <c r="I30" s="6">
        <v>124</v>
      </c>
      <c r="J30" s="37">
        <v>36.27</v>
      </c>
      <c r="K30" s="6">
        <v>1508</v>
      </c>
      <c r="L30" s="37">
        <v>70.6</v>
      </c>
      <c r="M30" s="6">
        <v>0.2</v>
      </c>
      <c r="N30" s="35">
        <v>1.915</v>
      </c>
      <c r="O30" s="39">
        <f>7.17*3.6</f>
        <v>25.812</v>
      </c>
      <c r="P30" s="6">
        <v>2250</v>
      </c>
      <c r="Q30" s="36">
        <v>137.8</v>
      </c>
      <c r="R30" s="37">
        <v>9.69</v>
      </c>
      <c r="S30" s="36">
        <v>803</v>
      </c>
      <c r="T30" s="6">
        <v>1254</v>
      </c>
      <c r="U30" s="37">
        <v>43.63</v>
      </c>
      <c r="V30" s="6">
        <v>1118</v>
      </c>
      <c r="W30" s="37">
        <v>-43.72</v>
      </c>
      <c r="X30" s="6">
        <v>2306</v>
      </c>
      <c r="Y30" s="35">
        <v>2.324</v>
      </c>
    </row>
    <row r="31" spans="1:25" ht="12.75">
      <c r="A31" s="6">
        <v>2019</v>
      </c>
      <c r="B31" s="53">
        <v>43736</v>
      </c>
      <c r="C31" s="37">
        <v>30.61</v>
      </c>
      <c r="D31" s="6">
        <v>1452</v>
      </c>
      <c r="E31" s="6">
        <v>14.44</v>
      </c>
      <c r="F31" s="6">
        <v>557</v>
      </c>
      <c r="G31" s="37">
        <v>21.92</v>
      </c>
      <c r="H31" s="37">
        <v>86.5</v>
      </c>
      <c r="I31" s="6">
        <v>615</v>
      </c>
      <c r="J31" s="6">
        <v>31.96</v>
      </c>
      <c r="K31" s="6">
        <v>1453</v>
      </c>
      <c r="L31" s="37">
        <v>60.73</v>
      </c>
      <c r="M31" s="38">
        <v>0</v>
      </c>
      <c r="N31" s="39">
        <v>2.88</v>
      </c>
      <c r="O31" s="39">
        <f>7.02*3.6</f>
        <v>25.272</v>
      </c>
      <c r="P31" s="6">
        <v>717</v>
      </c>
      <c r="Q31" s="36">
        <v>112.2</v>
      </c>
      <c r="R31" s="37">
        <v>9.71</v>
      </c>
      <c r="S31" s="36">
        <v>815</v>
      </c>
      <c r="T31" s="6">
        <v>1252</v>
      </c>
      <c r="U31" s="37">
        <v>37.78</v>
      </c>
      <c r="V31" s="6">
        <v>1237</v>
      </c>
      <c r="W31" s="37">
        <v>-42.26</v>
      </c>
      <c r="X31" s="6">
        <v>2355</v>
      </c>
      <c r="Y31" s="35">
        <v>2.843</v>
      </c>
    </row>
    <row r="32" spans="1:25" ht="12.75">
      <c r="A32" s="6">
        <v>2019</v>
      </c>
      <c r="B32" s="53">
        <v>43737</v>
      </c>
      <c r="C32" s="37">
        <v>31.01</v>
      </c>
      <c r="D32" s="6">
        <v>1445</v>
      </c>
      <c r="E32" s="37">
        <v>14.71</v>
      </c>
      <c r="F32" s="6">
        <v>500</v>
      </c>
      <c r="G32" s="37">
        <v>22.78</v>
      </c>
      <c r="H32" s="37">
        <v>88.5</v>
      </c>
      <c r="I32" s="6">
        <v>503</v>
      </c>
      <c r="J32" s="37">
        <v>22.14</v>
      </c>
      <c r="K32" s="6">
        <v>1626</v>
      </c>
      <c r="L32" s="37">
        <v>53.66</v>
      </c>
      <c r="M32" s="6">
        <v>0</v>
      </c>
      <c r="N32" s="35">
        <v>2.212</v>
      </c>
      <c r="O32" s="39">
        <f>6.425*3.6</f>
        <v>23.13</v>
      </c>
      <c r="P32" s="6">
        <v>820</v>
      </c>
      <c r="Q32" s="36">
        <v>108.1</v>
      </c>
      <c r="R32" s="37">
        <v>10.11</v>
      </c>
      <c r="S32" s="36">
        <v>779</v>
      </c>
      <c r="T32" s="6">
        <v>1111</v>
      </c>
      <c r="U32" s="37">
        <v>34.05</v>
      </c>
      <c r="V32" s="6">
        <v>1234</v>
      </c>
      <c r="W32" s="37">
        <v>-45.32</v>
      </c>
      <c r="X32" s="6">
        <v>2359</v>
      </c>
      <c r="Y32" s="35">
        <v>3.004</v>
      </c>
    </row>
    <row r="33" spans="1:25" ht="12.75">
      <c r="A33" s="6">
        <v>2019</v>
      </c>
      <c r="B33" s="53">
        <v>43738</v>
      </c>
      <c r="C33" s="37">
        <v>33.53</v>
      </c>
      <c r="D33" s="6">
        <v>1408</v>
      </c>
      <c r="E33" s="37">
        <v>16.3</v>
      </c>
      <c r="F33" s="6">
        <v>445</v>
      </c>
      <c r="G33" s="37">
        <v>24.52</v>
      </c>
      <c r="H33" s="37">
        <v>69.64</v>
      </c>
      <c r="I33" s="6">
        <v>616</v>
      </c>
      <c r="J33" s="37">
        <v>20.49</v>
      </c>
      <c r="K33" s="6">
        <v>1323</v>
      </c>
      <c r="L33" s="37">
        <v>46.54</v>
      </c>
      <c r="M33" s="38">
        <v>0</v>
      </c>
      <c r="N33" s="35">
        <v>1.513</v>
      </c>
      <c r="O33" s="39">
        <f>6.2*3.6</f>
        <v>22.32</v>
      </c>
      <c r="P33" s="6">
        <v>834</v>
      </c>
      <c r="Q33" s="36">
        <v>40.05</v>
      </c>
      <c r="R33" s="37">
        <v>9.84</v>
      </c>
      <c r="S33" s="36">
        <v>795</v>
      </c>
      <c r="T33" s="6">
        <v>1148</v>
      </c>
      <c r="U33" s="37">
        <v>35.61</v>
      </c>
      <c r="V33" s="6">
        <v>1349</v>
      </c>
      <c r="W33" s="37">
        <v>-46.1</v>
      </c>
      <c r="X33" s="6">
        <v>250</v>
      </c>
      <c r="Y33" s="35">
        <v>2.988</v>
      </c>
    </row>
    <row r="34" spans="3:25" ht="12.75">
      <c r="C34" s="40">
        <f>AVERAGE(C4:C33)</f>
        <v>33.269666666666666</v>
      </c>
      <c r="D34" s="33"/>
      <c r="E34" s="40">
        <f>AVERAGE(E4:E33)</f>
        <v>17.73166666666667</v>
      </c>
      <c r="F34" s="33"/>
      <c r="G34" s="40">
        <f>AVERAGE(G4:G33)</f>
        <v>24.938666666666666</v>
      </c>
      <c r="H34" s="40">
        <f>AVERAGE(H4:H33)</f>
        <v>78.11666666666665</v>
      </c>
      <c r="I34" s="33"/>
      <c r="J34" s="40">
        <f>AVERAGE(J4:J33)</f>
        <v>27.479333333333336</v>
      </c>
      <c r="K34" s="33"/>
      <c r="L34" s="40">
        <f>AVERAGE(L4:L33)</f>
        <v>52.90333333333333</v>
      </c>
      <c r="M34" s="41">
        <f>SUM(M4:M33)</f>
        <v>60.6</v>
      </c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41">
        <f>SUM(Y4:Y33)</f>
        <v>86.20600000000002</v>
      </c>
    </row>
  </sheetData>
  <sheetProtection/>
  <mergeCells count="3">
    <mergeCell ref="A1:B1"/>
    <mergeCell ref="A2:A3"/>
    <mergeCell ref="B2:B3"/>
  </mergeCells>
  <printOptions horizontalCentered="1"/>
  <pageMargins left="0.3937007874015748" right="0.3937007874015748" top="0.7874015748031497" bottom="0.5905511811023623" header="0.5118110236220472" footer="0.5118110236220472"/>
  <pageSetup horizontalDpi="300" verticalDpi="300" orientation="landscape" paperSize="9" scale="68" r:id="rId1"/>
  <headerFooter alignWithMargins="0">
    <oddHeader>&amp;CDADOS METEOROLÓGICOS - ESTAÇÃO EXPERIMENTAL DE CITRICULTURA DE BEBEDOURO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A35"/>
  <sheetViews>
    <sheetView view="pageBreakPreview" zoomScale="75" zoomScaleSheetLayoutView="75" zoomScalePageLayoutView="0" workbookViewId="0" topLeftCell="B2">
      <selection activeCell="U35" sqref="U35"/>
    </sheetView>
  </sheetViews>
  <sheetFormatPr defaultColWidth="9.140625" defaultRowHeight="12.75"/>
  <cols>
    <col min="1" max="1" width="7.140625" style="0" customWidth="1"/>
    <col min="2" max="2" width="8.28125" style="0" customWidth="1"/>
    <col min="3" max="3" width="9.7109375" style="0" customWidth="1"/>
    <col min="6" max="6" width="8.28125" style="0" customWidth="1"/>
    <col min="7" max="7" width="9.7109375" style="0" customWidth="1"/>
    <col min="9" max="9" width="7.28125" style="0" customWidth="1"/>
    <col min="11" max="11" width="7.140625" style="0" customWidth="1"/>
    <col min="13" max="13" width="7.28125" style="0" customWidth="1"/>
    <col min="16" max="16" width="7.7109375" style="0" customWidth="1"/>
    <col min="17" max="17" width="6.57421875" style="0" customWidth="1"/>
    <col min="18" max="18" width="7.7109375" style="0" customWidth="1"/>
    <col min="19" max="19" width="8.7109375" style="0" customWidth="1"/>
    <col min="20" max="20" width="8.00390625" style="0" customWidth="1"/>
    <col min="21" max="21" width="8.140625" style="0" customWidth="1"/>
    <col min="22" max="22" width="7.00390625" style="0" customWidth="1"/>
    <col min="23" max="23" width="7.7109375" style="0" customWidth="1"/>
    <col min="24" max="24" width="6.7109375" style="0" customWidth="1"/>
    <col min="25" max="25" width="7.28125" style="0" customWidth="1"/>
  </cols>
  <sheetData>
    <row r="1" spans="1:5" ht="12.75">
      <c r="A1" s="65">
        <v>39448</v>
      </c>
      <c r="B1" s="65"/>
      <c r="C1" s="8">
        <v>1</v>
      </c>
      <c r="E1">
        <v>3.6</v>
      </c>
    </row>
    <row r="2" spans="1:25" ht="33.75">
      <c r="A2" s="66" t="s">
        <v>12</v>
      </c>
      <c r="B2" s="66" t="s">
        <v>13</v>
      </c>
      <c r="C2" s="9" t="s">
        <v>14</v>
      </c>
      <c r="D2" s="9" t="s">
        <v>15</v>
      </c>
      <c r="E2" s="9" t="s">
        <v>16</v>
      </c>
      <c r="F2" s="9" t="s">
        <v>17</v>
      </c>
      <c r="G2" s="9" t="s">
        <v>18</v>
      </c>
      <c r="H2" s="9" t="s">
        <v>19</v>
      </c>
      <c r="I2" s="9" t="s">
        <v>15</v>
      </c>
      <c r="J2" s="9" t="s">
        <v>20</v>
      </c>
      <c r="K2" s="9" t="s">
        <v>17</v>
      </c>
      <c r="L2" s="9" t="s">
        <v>21</v>
      </c>
      <c r="M2" s="10" t="s">
        <v>22</v>
      </c>
      <c r="N2" s="9" t="s">
        <v>23</v>
      </c>
      <c r="O2" s="9" t="s">
        <v>24</v>
      </c>
      <c r="P2" s="9" t="s">
        <v>15</v>
      </c>
      <c r="Q2" s="9" t="s">
        <v>35</v>
      </c>
      <c r="R2" s="9" t="s">
        <v>44</v>
      </c>
      <c r="S2" s="9" t="s">
        <v>26</v>
      </c>
      <c r="T2" s="10" t="s">
        <v>15</v>
      </c>
      <c r="U2" s="9" t="s">
        <v>27</v>
      </c>
      <c r="V2" s="9" t="s">
        <v>15</v>
      </c>
      <c r="W2" s="9" t="s">
        <v>28</v>
      </c>
      <c r="X2" s="9" t="s">
        <v>17</v>
      </c>
      <c r="Y2" s="10" t="s">
        <v>29</v>
      </c>
    </row>
    <row r="3" spans="1:25" ht="12.75">
      <c r="A3" s="67"/>
      <c r="B3" s="67"/>
      <c r="C3" s="10" t="s">
        <v>30</v>
      </c>
      <c r="D3" s="10"/>
      <c r="E3" s="10" t="s">
        <v>30</v>
      </c>
      <c r="F3" s="10"/>
      <c r="G3" s="10" t="s">
        <v>30</v>
      </c>
      <c r="H3" s="10" t="s">
        <v>31</v>
      </c>
      <c r="I3" s="10"/>
      <c r="J3" s="10" t="s">
        <v>31</v>
      </c>
      <c r="K3" s="10"/>
      <c r="L3" s="10" t="s">
        <v>31</v>
      </c>
      <c r="M3" s="10" t="s">
        <v>32</v>
      </c>
      <c r="N3" s="10" t="s">
        <v>33</v>
      </c>
      <c r="O3" s="10" t="s">
        <v>42</v>
      </c>
      <c r="P3" s="10"/>
      <c r="Q3" s="10"/>
      <c r="R3" s="10" t="s">
        <v>43</v>
      </c>
      <c r="S3" s="10"/>
      <c r="T3" s="10"/>
      <c r="U3" s="10"/>
      <c r="V3" s="10"/>
      <c r="W3" s="10"/>
      <c r="X3" s="10"/>
      <c r="Y3" s="10" t="s">
        <v>32</v>
      </c>
    </row>
    <row r="4" spans="1:25" ht="12.75">
      <c r="A4" s="6">
        <v>2019</v>
      </c>
      <c r="B4" s="53">
        <v>43739</v>
      </c>
      <c r="C4" s="37">
        <v>36.24</v>
      </c>
      <c r="D4" s="6">
        <v>1512</v>
      </c>
      <c r="E4" s="6">
        <v>17.88</v>
      </c>
      <c r="F4" s="6">
        <v>511</v>
      </c>
      <c r="G4" s="37">
        <v>26.93</v>
      </c>
      <c r="H4" s="37">
        <v>75.1</v>
      </c>
      <c r="I4" s="6">
        <v>511</v>
      </c>
      <c r="J4" s="6">
        <v>16.77</v>
      </c>
      <c r="K4" s="6">
        <v>1424</v>
      </c>
      <c r="L4" s="37">
        <v>44.8</v>
      </c>
      <c r="M4" s="6">
        <v>0</v>
      </c>
      <c r="N4" s="35">
        <v>1.813</v>
      </c>
      <c r="O4" s="39">
        <f>7.32*3.6</f>
        <v>26.352</v>
      </c>
      <c r="P4" s="6">
        <v>1028</v>
      </c>
      <c r="Q4" s="36">
        <v>3.767</v>
      </c>
      <c r="R4" s="37">
        <v>9.76</v>
      </c>
      <c r="S4" s="36">
        <v>784</v>
      </c>
      <c r="T4" s="6">
        <v>1213</v>
      </c>
      <c r="U4" s="37">
        <v>29.55</v>
      </c>
      <c r="V4" s="6">
        <v>1319</v>
      </c>
      <c r="W4" s="37">
        <v>-43.57</v>
      </c>
      <c r="X4" s="6">
        <v>159</v>
      </c>
      <c r="Y4" s="35">
        <v>3.379</v>
      </c>
    </row>
    <row r="5" spans="1:25" ht="12.75">
      <c r="A5" s="6">
        <v>2019</v>
      </c>
      <c r="B5" s="53">
        <v>43740</v>
      </c>
      <c r="C5" s="37">
        <v>35.78</v>
      </c>
      <c r="D5" s="6">
        <v>1424</v>
      </c>
      <c r="E5" s="37">
        <v>20.26</v>
      </c>
      <c r="F5" s="6">
        <v>428</v>
      </c>
      <c r="G5" s="37">
        <v>28.2</v>
      </c>
      <c r="H5" s="37">
        <v>71.1</v>
      </c>
      <c r="I5" s="6">
        <v>431</v>
      </c>
      <c r="J5" s="37">
        <v>22.87</v>
      </c>
      <c r="K5" s="6">
        <v>1534</v>
      </c>
      <c r="L5" s="37">
        <v>43.95</v>
      </c>
      <c r="M5" s="6">
        <v>0</v>
      </c>
      <c r="N5" s="39">
        <v>1.287</v>
      </c>
      <c r="O5" s="39">
        <f>5.975*3.6</f>
        <v>21.509999999999998</v>
      </c>
      <c r="P5" s="6">
        <v>1153</v>
      </c>
      <c r="Q5" s="36">
        <v>330.7</v>
      </c>
      <c r="R5" s="37">
        <v>10.19</v>
      </c>
      <c r="S5" s="36">
        <v>778</v>
      </c>
      <c r="T5" s="6">
        <v>1159</v>
      </c>
      <c r="U5" s="37">
        <v>29.49</v>
      </c>
      <c r="V5" s="6">
        <v>1309</v>
      </c>
      <c r="W5" s="37">
        <v>-42.07</v>
      </c>
      <c r="X5" s="6">
        <v>554</v>
      </c>
      <c r="Y5" s="35">
        <v>3.29</v>
      </c>
    </row>
    <row r="6" spans="1:25" ht="12.75">
      <c r="A6" s="6">
        <v>2019</v>
      </c>
      <c r="B6" s="53">
        <v>43741</v>
      </c>
      <c r="C6" s="6">
        <v>35.98</v>
      </c>
      <c r="D6" s="6">
        <v>1540</v>
      </c>
      <c r="E6" s="37">
        <v>20.2</v>
      </c>
      <c r="F6" s="6">
        <v>607</v>
      </c>
      <c r="G6" s="6">
        <v>27.69</v>
      </c>
      <c r="H6" s="37">
        <v>83.3</v>
      </c>
      <c r="I6" s="6">
        <v>606</v>
      </c>
      <c r="J6" s="37">
        <v>14.59</v>
      </c>
      <c r="K6" s="6">
        <v>1540</v>
      </c>
      <c r="L6" s="37">
        <v>42.94</v>
      </c>
      <c r="M6" s="6">
        <v>0</v>
      </c>
      <c r="N6" s="39">
        <v>1.906</v>
      </c>
      <c r="O6" s="39">
        <f>6.575*3.6</f>
        <v>23.67</v>
      </c>
      <c r="P6" s="6">
        <v>1430</v>
      </c>
      <c r="Q6" s="36">
        <v>106</v>
      </c>
      <c r="R6" s="37">
        <v>9.96</v>
      </c>
      <c r="S6" s="36">
        <v>667.9</v>
      </c>
      <c r="T6" s="6">
        <v>1147</v>
      </c>
      <c r="U6" s="37">
        <v>25.61</v>
      </c>
      <c r="V6" s="6">
        <v>1248</v>
      </c>
      <c r="W6" s="6">
        <v>-46.68</v>
      </c>
      <c r="X6" s="6">
        <v>2244</v>
      </c>
      <c r="Y6" s="35">
        <v>3.842</v>
      </c>
    </row>
    <row r="7" spans="1:25" ht="12.75">
      <c r="A7" s="6">
        <v>2019</v>
      </c>
      <c r="B7" s="53">
        <v>43742</v>
      </c>
      <c r="C7" s="37">
        <v>35.25</v>
      </c>
      <c r="D7" s="6">
        <v>1524</v>
      </c>
      <c r="E7" s="37">
        <v>15.83</v>
      </c>
      <c r="F7" s="6">
        <v>521</v>
      </c>
      <c r="G7" s="37">
        <v>25.83</v>
      </c>
      <c r="H7" s="37">
        <v>70.3</v>
      </c>
      <c r="I7" s="6">
        <v>557</v>
      </c>
      <c r="J7" s="37">
        <v>15.05</v>
      </c>
      <c r="K7" s="6">
        <v>1504</v>
      </c>
      <c r="L7" s="37">
        <v>38.42</v>
      </c>
      <c r="M7" s="6">
        <v>0</v>
      </c>
      <c r="N7" s="35">
        <v>2.07</v>
      </c>
      <c r="O7" s="39">
        <f>6.5*3.6</f>
        <v>23.400000000000002</v>
      </c>
      <c r="P7" s="6">
        <v>931</v>
      </c>
      <c r="Q7" s="36">
        <v>55.29</v>
      </c>
      <c r="R7" s="37">
        <v>10.76</v>
      </c>
      <c r="S7" s="36">
        <v>768</v>
      </c>
      <c r="T7" s="6">
        <v>1220</v>
      </c>
      <c r="U7" s="37">
        <v>29.61</v>
      </c>
      <c r="V7" s="6">
        <v>1234</v>
      </c>
      <c r="W7" s="6">
        <v>-47.28</v>
      </c>
      <c r="X7" s="38">
        <v>329</v>
      </c>
      <c r="Y7" s="35">
        <v>3.592</v>
      </c>
    </row>
    <row r="8" spans="1:25" ht="12.75">
      <c r="A8" s="6">
        <v>2019</v>
      </c>
      <c r="B8" s="53">
        <v>43743</v>
      </c>
      <c r="C8" s="6">
        <v>35.52</v>
      </c>
      <c r="D8" s="6">
        <v>1512</v>
      </c>
      <c r="E8" s="6">
        <v>17.68</v>
      </c>
      <c r="F8" s="6">
        <v>558</v>
      </c>
      <c r="G8" s="37">
        <v>26.98</v>
      </c>
      <c r="H8" s="37">
        <v>71</v>
      </c>
      <c r="I8" s="6">
        <v>616</v>
      </c>
      <c r="J8" s="6">
        <v>19.29</v>
      </c>
      <c r="K8" s="6">
        <v>1430</v>
      </c>
      <c r="L8" s="37">
        <v>40.81</v>
      </c>
      <c r="M8" s="6">
        <v>0</v>
      </c>
      <c r="N8" s="35">
        <v>1.298</v>
      </c>
      <c r="O8" s="39">
        <v>26.892</v>
      </c>
      <c r="P8" s="6">
        <v>1123</v>
      </c>
      <c r="Q8" s="36">
        <v>4.426</v>
      </c>
      <c r="R8" s="37">
        <v>10.72</v>
      </c>
      <c r="S8" s="36">
        <v>767</v>
      </c>
      <c r="T8" s="6">
        <v>1212</v>
      </c>
      <c r="U8" s="37">
        <v>25.31</v>
      </c>
      <c r="V8" s="6">
        <v>1257</v>
      </c>
      <c r="W8" s="37">
        <v>-45.18</v>
      </c>
      <c r="X8" s="6">
        <v>333</v>
      </c>
      <c r="Y8" s="35">
        <v>3.517</v>
      </c>
    </row>
    <row r="9" spans="1:25" ht="12.75">
      <c r="A9" s="6">
        <v>2019</v>
      </c>
      <c r="B9" s="53">
        <v>43744</v>
      </c>
      <c r="C9" s="37">
        <v>33.6</v>
      </c>
      <c r="D9" s="6">
        <v>1546</v>
      </c>
      <c r="E9" s="37">
        <v>19.14</v>
      </c>
      <c r="F9" s="6">
        <v>618</v>
      </c>
      <c r="G9" s="6">
        <v>25.97</v>
      </c>
      <c r="H9" s="37">
        <v>84.8</v>
      </c>
      <c r="I9" s="6">
        <v>0</v>
      </c>
      <c r="J9" s="37">
        <v>32.55</v>
      </c>
      <c r="K9" s="6">
        <v>1503</v>
      </c>
      <c r="L9" s="37">
        <v>53.73</v>
      </c>
      <c r="M9" s="38">
        <v>0</v>
      </c>
      <c r="N9" s="35">
        <v>2.405</v>
      </c>
      <c r="O9" s="39">
        <f>7.92*3.6</f>
        <v>28.512</v>
      </c>
      <c r="P9" s="6">
        <v>1512</v>
      </c>
      <c r="Q9" s="36">
        <v>296</v>
      </c>
      <c r="R9" s="37">
        <v>10.22</v>
      </c>
      <c r="S9" s="36">
        <v>795</v>
      </c>
      <c r="T9" s="6">
        <v>1113</v>
      </c>
      <c r="U9" s="37">
        <v>16.08</v>
      </c>
      <c r="V9" s="6">
        <v>1250</v>
      </c>
      <c r="W9" s="37">
        <v>-42.411</v>
      </c>
      <c r="X9" s="6">
        <v>432</v>
      </c>
      <c r="Y9" s="35">
        <v>3.669</v>
      </c>
    </row>
    <row r="10" spans="1:25" ht="12.75">
      <c r="A10" s="6">
        <v>2019</v>
      </c>
      <c r="B10" s="53">
        <v>43745</v>
      </c>
      <c r="C10" s="37">
        <v>32.47</v>
      </c>
      <c r="D10" s="6">
        <v>1508</v>
      </c>
      <c r="E10" s="37">
        <v>17.55</v>
      </c>
      <c r="F10" s="6">
        <v>501</v>
      </c>
      <c r="G10" s="37">
        <v>24.65</v>
      </c>
      <c r="H10" s="37">
        <v>95.1</v>
      </c>
      <c r="I10" s="6">
        <v>349</v>
      </c>
      <c r="J10" s="6">
        <v>33.48</v>
      </c>
      <c r="K10" s="6">
        <v>1545</v>
      </c>
      <c r="L10" s="37">
        <v>65.06</v>
      </c>
      <c r="M10" s="6">
        <v>0</v>
      </c>
      <c r="N10" s="35">
        <v>2.449</v>
      </c>
      <c r="O10" s="35">
        <f>8.75*3.6</f>
        <v>31.5</v>
      </c>
      <c r="P10" s="6">
        <v>1411</v>
      </c>
      <c r="Q10" s="36">
        <v>223.8</v>
      </c>
      <c r="R10" s="37">
        <v>9.36</v>
      </c>
      <c r="S10" s="36">
        <v>926</v>
      </c>
      <c r="T10" s="6">
        <v>1217</v>
      </c>
      <c r="U10" s="37">
        <v>24.08</v>
      </c>
      <c r="V10" s="6">
        <v>1238</v>
      </c>
      <c r="W10" s="37">
        <v>-39.27</v>
      </c>
      <c r="X10" s="6">
        <v>350</v>
      </c>
      <c r="Y10" s="35">
        <v>2.856</v>
      </c>
    </row>
    <row r="11" spans="1:25" ht="12.75">
      <c r="A11" s="6">
        <v>2019</v>
      </c>
      <c r="B11" s="53">
        <v>43746</v>
      </c>
      <c r="C11" s="6">
        <v>26.06</v>
      </c>
      <c r="D11" s="6">
        <v>1706</v>
      </c>
      <c r="E11" s="37">
        <v>19.4</v>
      </c>
      <c r="F11" s="6">
        <v>355</v>
      </c>
      <c r="G11" s="6">
        <v>21.88</v>
      </c>
      <c r="H11" s="37">
        <v>92.9</v>
      </c>
      <c r="I11" s="6">
        <v>2342</v>
      </c>
      <c r="J11" s="37">
        <v>65.13</v>
      </c>
      <c r="K11" s="6">
        <v>1711</v>
      </c>
      <c r="L11" s="37">
        <v>81.1</v>
      </c>
      <c r="M11" s="6">
        <v>1.5</v>
      </c>
      <c r="N11" s="6">
        <v>1.525</v>
      </c>
      <c r="O11" s="39">
        <f>6.35*3.6</f>
        <v>22.86</v>
      </c>
      <c r="P11" s="6">
        <v>23</v>
      </c>
      <c r="Q11" s="36">
        <v>125.4</v>
      </c>
      <c r="R11" s="37">
        <v>3.001</v>
      </c>
      <c r="S11" s="36">
        <v>559.9</v>
      </c>
      <c r="T11" s="6">
        <v>1416</v>
      </c>
      <c r="U11" s="37">
        <v>-8.39</v>
      </c>
      <c r="V11" s="6">
        <v>1433</v>
      </c>
      <c r="W11" s="37">
        <v>-44.15</v>
      </c>
      <c r="X11" s="6">
        <v>1228</v>
      </c>
      <c r="Y11" s="35">
        <v>0.672</v>
      </c>
    </row>
    <row r="12" spans="1:25" ht="12.75">
      <c r="A12" s="6">
        <v>2019</v>
      </c>
      <c r="B12" s="53">
        <v>43747</v>
      </c>
      <c r="C12" s="6">
        <v>29.96</v>
      </c>
      <c r="D12" s="6">
        <v>1635</v>
      </c>
      <c r="E12" s="37">
        <v>19.21</v>
      </c>
      <c r="F12" s="6">
        <v>2345</v>
      </c>
      <c r="G12" s="37">
        <v>22.84</v>
      </c>
      <c r="H12" s="37">
        <v>95.2</v>
      </c>
      <c r="I12" s="6">
        <v>2345</v>
      </c>
      <c r="J12" s="37">
        <v>41.91</v>
      </c>
      <c r="K12" s="6">
        <v>1606</v>
      </c>
      <c r="L12" s="37">
        <v>79.1</v>
      </c>
      <c r="M12" s="36">
        <v>2.5</v>
      </c>
      <c r="N12" s="35">
        <v>1.99</v>
      </c>
      <c r="O12" s="39">
        <f>7.1*3.6</f>
        <v>25.56</v>
      </c>
      <c r="P12" s="6">
        <v>1742</v>
      </c>
      <c r="Q12" s="36">
        <v>144.8</v>
      </c>
      <c r="R12" s="37">
        <v>6.141</v>
      </c>
      <c r="S12" s="36">
        <v>888</v>
      </c>
      <c r="T12" s="6">
        <v>1243</v>
      </c>
      <c r="U12" s="37">
        <v>16.9</v>
      </c>
      <c r="V12" s="6">
        <v>1304</v>
      </c>
      <c r="W12" s="37">
        <v>-37.71</v>
      </c>
      <c r="X12" s="6">
        <v>2343</v>
      </c>
      <c r="Y12" s="35">
        <v>1.686</v>
      </c>
    </row>
    <row r="13" spans="1:25" ht="12.75">
      <c r="A13" s="6">
        <v>2019</v>
      </c>
      <c r="B13" s="53">
        <v>43748</v>
      </c>
      <c r="C13" s="37">
        <v>29.36</v>
      </c>
      <c r="D13" s="6">
        <v>1439</v>
      </c>
      <c r="E13" s="37">
        <v>18.35</v>
      </c>
      <c r="F13" s="6">
        <v>601</v>
      </c>
      <c r="G13" s="37">
        <v>22.71</v>
      </c>
      <c r="H13" s="37">
        <v>95.4</v>
      </c>
      <c r="I13" s="6">
        <v>235</v>
      </c>
      <c r="J13" s="37">
        <v>47.88</v>
      </c>
      <c r="K13" s="6">
        <v>1440</v>
      </c>
      <c r="L13" s="37">
        <v>76.4</v>
      </c>
      <c r="M13" s="6">
        <v>0.3</v>
      </c>
      <c r="N13" s="39">
        <v>2.21</v>
      </c>
      <c r="O13" s="39">
        <f>6.575*3.6</f>
        <v>23.67</v>
      </c>
      <c r="P13" s="6">
        <v>1423</v>
      </c>
      <c r="Q13" s="36">
        <v>22.6</v>
      </c>
      <c r="R13" s="37">
        <v>5.943</v>
      </c>
      <c r="S13" s="36">
        <v>904</v>
      </c>
      <c r="T13" s="6">
        <v>1226</v>
      </c>
      <c r="U13" s="37">
        <v>12.67</v>
      </c>
      <c r="V13" s="6">
        <v>1414</v>
      </c>
      <c r="W13" s="37">
        <v>-37.93</v>
      </c>
      <c r="X13" s="6">
        <v>2334</v>
      </c>
      <c r="Y13" s="35">
        <v>1.785</v>
      </c>
    </row>
    <row r="14" spans="1:26" ht="12.75">
      <c r="A14" s="6">
        <v>2019</v>
      </c>
      <c r="B14" s="53">
        <v>43749</v>
      </c>
      <c r="C14" s="37">
        <v>33.06</v>
      </c>
      <c r="D14" s="6">
        <v>1553</v>
      </c>
      <c r="E14" s="37">
        <v>17.15</v>
      </c>
      <c r="F14" s="6">
        <v>559</v>
      </c>
      <c r="G14" s="37">
        <v>24.88</v>
      </c>
      <c r="H14" s="37">
        <v>94.6</v>
      </c>
      <c r="I14" s="6">
        <v>608</v>
      </c>
      <c r="J14" s="37">
        <v>31.43</v>
      </c>
      <c r="K14" s="6">
        <v>1534</v>
      </c>
      <c r="L14" s="37">
        <v>61.29</v>
      </c>
      <c r="M14" s="6">
        <v>0</v>
      </c>
      <c r="N14" s="35">
        <v>1.93</v>
      </c>
      <c r="O14" s="39">
        <f>7.55*3.6</f>
        <v>27.18</v>
      </c>
      <c r="P14" s="6">
        <v>1145</v>
      </c>
      <c r="Q14" s="36">
        <v>1.601</v>
      </c>
      <c r="R14" s="37">
        <v>9.62</v>
      </c>
      <c r="S14" s="36">
        <v>787</v>
      </c>
      <c r="T14" s="6">
        <v>1146</v>
      </c>
      <c r="U14" s="37">
        <v>30.02</v>
      </c>
      <c r="V14" s="6">
        <v>1225</v>
      </c>
      <c r="W14" s="37">
        <v>-39.21</v>
      </c>
      <c r="X14" s="6">
        <v>535</v>
      </c>
      <c r="Y14" s="35">
        <v>2.954</v>
      </c>
      <c r="Z14" s="13"/>
    </row>
    <row r="15" spans="1:25" ht="12.75">
      <c r="A15" s="6">
        <v>2019</v>
      </c>
      <c r="B15" s="53">
        <v>43750</v>
      </c>
      <c r="C15" s="6">
        <v>35.05</v>
      </c>
      <c r="D15" s="6">
        <v>1547</v>
      </c>
      <c r="E15" s="37">
        <v>19.54</v>
      </c>
      <c r="F15" s="6">
        <v>548</v>
      </c>
      <c r="G15" s="37">
        <v>27.16</v>
      </c>
      <c r="H15" s="37">
        <v>84.6</v>
      </c>
      <c r="I15" s="6">
        <v>614</v>
      </c>
      <c r="J15" s="37">
        <v>23.47</v>
      </c>
      <c r="K15" s="6">
        <v>1541</v>
      </c>
      <c r="L15" s="37">
        <v>51.74</v>
      </c>
      <c r="M15" s="6">
        <v>0</v>
      </c>
      <c r="N15" s="35">
        <v>1.049</v>
      </c>
      <c r="O15" s="39">
        <f>5.525*3.6</f>
        <v>19.89</v>
      </c>
      <c r="P15" s="6">
        <v>1245</v>
      </c>
      <c r="Q15" s="36">
        <v>54.04</v>
      </c>
      <c r="R15" s="37">
        <v>9.27</v>
      </c>
      <c r="S15" s="36">
        <v>877</v>
      </c>
      <c r="T15" s="6">
        <v>1228</v>
      </c>
      <c r="U15" s="37">
        <v>30.9</v>
      </c>
      <c r="V15" s="6">
        <v>1243</v>
      </c>
      <c r="W15" s="37">
        <v>-39.29</v>
      </c>
      <c r="X15" s="6">
        <v>2330</v>
      </c>
      <c r="Y15" s="35">
        <v>2.904</v>
      </c>
    </row>
    <row r="16" spans="1:25" ht="12.75">
      <c r="A16" s="6">
        <v>2019</v>
      </c>
      <c r="B16" s="53">
        <v>43751</v>
      </c>
      <c r="C16" s="37">
        <v>36.3</v>
      </c>
      <c r="D16" s="6">
        <v>1526</v>
      </c>
      <c r="E16" s="6">
        <v>20.21</v>
      </c>
      <c r="F16" s="6">
        <v>554</v>
      </c>
      <c r="G16" s="37">
        <v>28.18</v>
      </c>
      <c r="H16" s="37">
        <v>73.1</v>
      </c>
      <c r="I16" s="6">
        <v>600</v>
      </c>
      <c r="J16" s="6">
        <v>19.42</v>
      </c>
      <c r="K16" s="6">
        <v>1526</v>
      </c>
      <c r="L16" s="37">
        <v>43.31</v>
      </c>
      <c r="M16" s="6">
        <v>0</v>
      </c>
      <c r="N16" s="35">
        <v>1.04</v>
      </c>
      <c r="O16" s="39">
        <f>6.125*3.6</f>
        <v>22.05</v>
      </c>
      <c r="P16" s="6">
        <v>1010</v>
      </c>
      <c r="Q16" s="36">
        <v>42.84</v>
      </c>
      <c r="R16" s="37">
        <v>9.85</v>
      </c>
      <c r="S16" s="36">
        <v>904</v>
      </c>
      <c r="T16" s="6">
        <v>1239</v>
      </c>
      <c r="U16" s="37">
        <v>30.17</v>
      </c>
      <c r="V16" s="6">
        <v>1251</v>
      </c>
      <c r="W16" s="37">
        <v>-40.71</v>
      </c>
      <c r="X16" s="6">
        <v>2219</v>
      </c>
      <c r="Y16" s="35">
        <v>3.329</v>
      </c>
    </row>
    <row r="17" spans="1:25" ht="12.75">
      <c r="A17" s="6">
        <v>2019</v>
      </c>
      <c r="B17" s="53">
        <v>43752</v>
      </c>
      <c r="C17" s="6">
        <v>36.37</v>
      </c>
      <c r="D17" s="6">
        <v>1503</v>
      </c>
      <c r="E17" s="37">
        <v>20.13</v>
      </c>
      <c r="F17" s="6">
        <v>515</v>
      </c>
      <c r="G17" s="37">
        <v>28.25</v>
      </c>
      <c r="H17" s="37">
        <v>74.7</v>
      </c>
      <c r="I17" s="6">
        <v>512</v>
      </c>
      <c r="J17" s="37">
        <v>19.03</v>
      </c>
      <c r="K17" s="6">
        <v>1525</v>
      </c>
      <c r="L17" s="37">
        <v>41.91</v>
      </c>
      <c r="M17" s="6">
        <v>0</v>
      </c>
      <c r="N17" s="35">
        <v>1.302</v>
      </c>
      <c r="O17" s="39">
        <f>6.575*3.6</f>
        <v>23.67</v>
      </c>
      <c r="P17" s="6">
        <v>2307</v>
      </c>
      <c r="Q17" s="36">
        <v>169.2</v>
      </c>
      <c r="R17" s="37">
        <v>10.76</v>
      </c>
      <c r="S17" s="36">
        <v>747</v>
      </c>
      <c r="T17" s="6">
        <v>1128</v>
      </c>
      <c r="U17" s="37">
        <v>28.29</v>
      </c>
      <c r="V17" s="6">
        <v>1301</v>
      </c>
      <c r="W17" s="37">
        <v>-41.79</v>
      </c>
      <c r="X17" s="6">
        <v>2238</v>
      </c>
      <c r="Y17" s="35">
        <v>3.584</v>
      </c>
    </row>
    <row r="18" spans="1:25" ht="12.75">
      <c r="A18" s="6">
        <v>2019</v>
      </c>
      <c r="B18" s="53">
        <v>43753</v>
      </c>
      <c r="C18" s="37">
        <v>35.32</v>
      </c>
      <c r="D18" s="6">
        <v>1336</v>
      </c>
      <c r="E18" s="37">
        <v>19.67</v>
      </c>
      <c r="F18" s="6">
        <v>546</v>
      </c>
      <c r="G18" s="37">
        <v>26.74</v>
      </c>
      <c r="H18" s="37">
        <v>78.1</v>
      </c>
      <c r="I18" s="6">
        <v>552</v>
      </c>
      <c r="J18" s="37">
        <v>23.01</v>
      </c>
      <c r="K18" s="6">
        <v>1338</v>
      </c>
      <c r="L18" s="37">
        <v>51.35</v>
      </c>
      <c r="M18" s="6">
        <v>0</v>
      </c>
      <c r="N18" s="35">
        <v>3.711</v>
      </c>
      <c r="O18" s="39">
        <f>10.17*3.6</f>
        <v>36.612</v>
      </c>
      <c r="P18" s="6">
        <v>730</v>
      </c>
      <c r="Q18" s="36">
        <v>122.3</v>
      </c>
      <c r="R18" s="6">
        <v>9.28</v>
      </c>
      <c r="S18" s="36">
        <v>837</v>
      </c>
      <c r="T18" s="6">
        <v>1312</v>
      </c>
      <c r="U18" s="37">
        <v>32.41</v>
      </c>
      <c r="V18" s="6">
        <v>1255</v>
      </c>
      <c r="W18" s="6">
        <v>-42.96</v>
      </c>
      <c r="X18" s="6">
        <v>509</v>
      </c>
      <c r="Y18" s="39">
        <v>3.568</v>
      </c>
    </row>
    <row r="19" spans="1:25" ht="12.75">
      <c r="A19" s="6">
        <v>2019</v>
      </c>
      <c r="B19" s="53">
        <v>43754</v>
      </c>
      <c r="C19" s="6">
        <v>35.45</v>
      </c>
      <c r="D19" s="6">
        <v>1529</v>
      </c>
      <c r="E19" s="37">
        <v>18.88</v>
      </c>
      <c r="F19" s="6">
        <v>551</v>
      </c>
      <c r="G19" s="37">
        <v>26.63</v>
      </c>
      <c r="H19" s="37">
        <v>82.1</v>
      </c>
      <c r="I19" s="6">
        <v>2120</v>
      </c>
      <c r="J19" s="37">
        <v>23.67</v>
      </c>
      <c r="K19" s="6">
        <v>1511</v>
      </c>
      <c r="L19" s="37">
        <v>52.87</v>
      </c>
      <c r="M19" s="6">
        <v>2.1</v>
      </c>
      <c r="N19" s="35">
        <v>2.515</v>
      </c>
      <c r="O19" s="39">
        <f>7.92*3.6</f>
        <v>28.512</v>
      </c>
      <c r="P19" s="6">
        <v>55</v>
      </c>
      <c r="Q19" s="36">
        <v>119.9</v>
      </c>
      <c r="R19" s="6">
        <v>10.16</v>
      </c>
      <c r="S19" s="36">
        <v>708</v>
      </c>
      <c r="T19" s="6">
        <v>1302</v>
      </c>
      <c r="U19" s="37">
        <v>30.66</v>
      </c>
      <c r="V19" s="6">
        <v>1136</v>
      </c>
      <c r="W19" s="37">
        <v>-42.69</v>
      </c>
      <c r="X19" s="6">
        <v>557</v>
      </c>
      <c r="Y19" s="35">
        <v>3.3</v>
      </c>
    </row>
    <row r="20" spans="1:25" ht="12.75">
      <c r="A20" s="6">
        <v>2019</v>
      </c>
      <c r="B20" s="53">
        <v>43755</v>
      </c>
      <c r="C20" s="37">
        <v>35.78</v>
      </c>
      <c r="D20" s="6">
        <v>1351</v>
      </c>
      <c r="E20" s="6">
        <v>19.99</v>
      </c>
      <c r="F20" s="6">
        <v>548</v>
      </c>
      <c r="G20" s="37">
        <v>28.02</v>
      </c>
      <c r="H20" s="37">
        <v>82</v>
      </c>
      <c r="I20" s="6">
        <v>554</v>
      </c>
      <c r="J20" s="37">
        <v>24.07</v>
      </c>
      <c r="K20" s="6">
        <v>1352</v>
      </c>
      <c r="L20" s="37">
        <v>47.84</v>
      </c>
      <c r="M20" s="6">
        <v>0</v>
      </c>
      <c r="N20" s="35">
        <v>2.01</v>
      </c>
      <c r="O20" s="39">
        <f>7.02*3.6</f>
        <v>25.272</v>
      </c>
      <c r="P20" s="6">
        <v>927</v>
      </c>
      <c r="Q20" s="36">
        <v>53.78</v>
      </c>
      <c r="R20" s="37">
        <v>8.9</v>
      </c>
      <c r="S20" s="36">
        <v>746</v>
      </c>
      <c r="T20" s="6">
        <v>1219</v>
      </c>
      <c r="U20" s="37">
        <v>24.33</v>
      </c>
      <c r="V20" s="6">
        <v>1338</v>
      </c>
      <c r="W20" s="37">
        <v>-45.57</v>
      </c>
      <c r="X20" s="6">
        <v>535</v>
      </c>
      <c r="Y20" s="35">
        <v>3.242</v>
      </c>
    </row>
    <row r="21" spans="1:25" ht="12.75">
      <c r="A21" s="6">
        <v>2019</v>
      </c>
      <c r="B21" s="53">
        <v>43756</v>
      </c>
      <c r="C21" s="6">
        <v>36.04</v>
      </c>
      <c r="D21" s="6">
        <v>1438</v>
      </c>
      <c r="E21" s="6">
        <v>20.32</v>
      </c>
      <c r="F21" s="6">
        <v>530</v>
      </c>
      <c r="G21" s="37">
        <v>28.63</v>
      </c>
      <c r="H21" s="37">
        <v>72.2</v>
      </c>
      <c r="I21" s="6">
        <v>529</v>
      </c>
      <c r="J21" s="37">
        <v>21.88</v>
      </c>
      <c r="K21" s="6">
        <v>1308</v>
      </c>
      <c r="L21" s="37">
        <v>41.75</v>
      </c>
      <c r="M21" s="38">
        <v>0</v>
      </c>
      <c r="N21" s="35">
        <v>1.013</v>
      </c>
      <c r="O21" s="39">
        <f>5.9*3.6</f>
        <v>21.240000000000002</v>
      </c>
      <c r="P21" s="6">
        <v>959</v>
      </c>
      <c r="Q21" s="36">
        <v>349.7</v>
      </c>
      <c r="R21" s="37">
        <v>8.93</v>
      </c>
      <c r="S21" s="36">
        <v>965</v>
      </c>
      <c r="T21" s="6">
        <v>1222</v>
      </c>
      <c r="U21" s="37">
        <v>21.11</v>
      </c>
      <c r="V21" s="6">
        <v>1349</v>
      </c>
      <c r="W21" s="37">
        <v>-43.49</v>
      </c>
      <c r="X21" s="6">
        <v>527</v>
      </c>
      <c r="Y21" s="35">
        <v>3.097</v>
      </c>
    </row>
    <row r="22" spans="1:27" ht="12.75">
      <c r="A22" s="6">
        <v>2019</v>
      </c>
      <c r="B22" s="53">
        <v>43757</v>
      </c>
      <c r="C22" s="37">
        <v>35.52</v>
      </c>
      <c r="D22" s="6">
        <v>1636</v>
      </c>
      <c r="E22" s="37">
        <v>20.45</v>
      </c>
      <c r="F22" s="6">
        <v>630</v>
      </c>
      <c r="G22" s="37">
        <v>27.22</v>
      </c>
      <c r="H22" s="37">
        <v>83.1</v>
      </c>
      <c r="I22" s="6">
        <v>818</v>
      </c>
      <c r="J22" s="6">
        <v>25.53</v>
      </c>
      <c r="K22" s="6">
        <v>1630</v>
      </c>
      <c r="L22" s="37">
        <v>54.64</v>
      </c>
      <c r="M22" s="6">
        <v>0.5</v>
      </c>
      <c r="N22" s="35">
        <v>3.324</v>
      </c>
      <c r="O22" s="39">
        <f>10.47*3.6</f>
        <v>37.692</v>
      </c>
      <c r="P22" s="6">
        <v>340</v>
      </c>
      <c r="Q22" s="36">
        <v>182.4</v>
      </c>
      <c r="R22" s="6">
        <v>7.53</v>
      </c>
      <c r="S22" s="36">
        <v>857</v>
      </c>
      <c r="T22" s="6">
        <v>1229</v>
      </c>
      <c r="U22" s="37">
        <v>16.16</v>
      </c>
      <c r="V22" s="6">
        <v>1156</v>
      </c>
      <c r="W22" s="37">
        <v>-41.54</v>
      </c>
      <c r="X22" s="6">
        <v>617</v>
      </c>
      <c r="Y22" s="35">
        <v>2.91</v>
      </c>
      <c r="AA22" s="27"/>
    </row>
    <row r="23" spans="1:25" ht="12.75">
      <c r="A23" s="6">
        <v>2019</v>
      </c>
      <c r="B23" s="53">
        <v>43758</v>
      </c>
      <c r="C23" s="37">
        <v>34.19</v>
      </c>
      <c r="D23" s="6">
        <v>1500</v>
      </c>
      <c r="E23" s="37">
        <v>20.06</v>
      </c>
      <c r="F23" s="6">
        <v>553</v>
      </c>
      <c r="G23" s="6">
        <v>26.62</v>
      </c>
      <c r="H23" s="37">
        <v>80.5</v>
      </c>
      <c r="I23" s="6">
        <v>621</v>
      </c>
      <c r="J23" s="6">
        <v>29.24</v>
      </c>
      <c r="K23" s="6">
        <v>1458</v>
      </c>
      <c r="L23" s="37">
        <v>54.16</v>
      </c>
      <c r="M23" s="6">
        <v>0</v>
      </c>
      <c r="N23" s="35">
        <v>3.416</v>
      </c>
      <c r="O23" s="39">
        <f>7.55*3.6</f>
        <v>27.18</v>
      </c>
      <c r="P23" s="6">
        <v>705</v>
      </c>
      <c r="Q23" s="36">
        <v>102.6</v>
      </c>
      <c r="R23" s="37">
        <v>10.43</v>
      </c>
      <c r="S23" s="36">
        <v>645.9</v>
      </c>
      <c r="T23" s="6">
        <v>1215</v>
      </c>
      <c r="U23" s="37">
        <v>33.08</v>
      </c>
      <c r="V23" s="6">
        <v>1253</v>
      </c>
      <c r="W23" s="37">
        <v>-45.55</v>
      </c>
      <c r="X23" s="6">
        <v>657</v>
      </c>
      <c r="Y23" s="35">
        <v>3.818</v>
      </c>
    </row>
    <row r="24" spans="1:25" ht="12.75">
      <c r="A24" s="6">
        <v>2019</v>
      </c>
      <c r="B24" s="53">
        <v>43759</v>
      </c>
      <c r="C24" s="6">
        <v>30.42</v>
      </c>
      <c r="D24" s="6">
        <v>1518</v>
      </c>
      <c r="E24" s="6">
        <v>16.55</v>
      </c>
      <c r="F24" s="6">
        <v>743</v>
      </c>
      <c r="G24" s="37">
        <v>21.8</v>
      </c>
      <c r="H24" s="37">
        <v>95.8</v>
      </c>
      <c r="I24" s="6">
        <v>1825</v>
      </c>
      <c r="J24" s="6">
        <v>42.44</v>
      </c>
      <c r="K24" s="6">
        <v>1518</v>
      </c>
      <c r="L24" s="37">
        <v>73.7</v>
      </c>
      <c r="M24" s="36">
        <v>18.2</v>
      </c>
      <c r="N24" s="35">
        <v>2.628</v>
      </c>
      <c r="O24" s="39">
        <f>12.72*3.6</f>
        <v>45.792</v>
      </c>
      <c r="P24" s="6">
        <v>1739</v>
      </c>
      <c r="Q24" s="36">
        <v>206.8</v>
      </c>
      <c r="R24" s="37">
        <v>5.297</v>
      </c>
      <c r="S24" s="36">
        <v>813</v>
      </c>
      <c r="T24" s="6">
        <v>1224</v>
      </c>
      <c r="U24" s="37">
        <v>7.78</v>
      </c>
      <c r="V24" s="6">
        <v>1333</v>
      </c>
      <c r="W24" s="37">
        <v>-58.95</v>
      </c>
      <c r="X24" s="6">
        <v>1815</v>
      </c>
      <c r="Y24" s="35">
        <v>1.624</v>
      </c>
    </row>
    <row r="25" spans="1:25" ht="12.75">
      <c r="A25" s="6">
        <v>2019</v>
      </c>
      <c r="B25" s="53">
        <v>43760</v>
      </c>
      <c r="C25" s="37">
        <v>26.72</v>
      </c>
      <c r="D25" s="6">
        <v>1240</v>
      </c>
      <c r="E25" s="37">
        <v>18.21</v>
      </c>
      <c r="F25" s="6">
        <v>1</v>
      </c>
      <c r="G25" s="6">
        <v>21.66</v>
      </c>
      <c r="H25" s="37">
        <v>96</v>
      </c>
      <c r="I25" s="6">
        <v>13</v>
      </c>
      <c r="J25" s="37">
        <v>50.27</v>
      </c>
      <c r="K25" s="6">
        <v>1330</v>
      </c>
      <c r="L25" s="37">
        <v>78.2</v>
      </c>
      <c r="M25" s="6">
        <v>0</v>
      </c>
      <c r="N25" s="35">
        <v>1.67</v>
      </c>
      <c r="O25" s="39">
        <f>4.775*3.6</f>
        <v>17.19</v>
      </c>
      <c r="P25" s="6">
        <v>1225</v>
      </c>
      <c r="Q25" s="36">
        <v>225.5</v>
      </c>
      <c r="R25" s="37">
        <v>5.937</v>
      </c>
      <c r="S25" s="36">
        <v>931</v>
      </c>
      <c r="T25" s="6">
        <v>1035</v>
      </c>
      <c r="U25" s="37">
        <v>2.624</v>
      </c>
      <c r="V25" s="6">
        <v>1224</v>
      </c>
      <c r="W25" s="37">
        <v>-46.7</v>
      </c>
      <c r="X25" s="6">
        <v>4</v>
      </c>
      <c r="Y25" s="39">
        <v>1.605</v>
      </c>
    </row>
    <row r="26" spans="1:26" ht="12.75">
      <c r="A26" s="6">
        <v>2019</v>
      </c>
      <c r="B26" s="53">
        <v>43761</v>
      </c>
      <c r="C26" s="37">
        <v>31.41</v>
      </c>
      <c r="D26" s="6">
        <v>1606</v>
      </c>
      <c r="E26" s="37">
        <v>17.02</v>
      </c>
      <c r="F26" s="6">
        <v>333</v>
      </c>
      <c r="G26" s="37">
        <v>24.16</v>
      </c>
      <c r="H26" s="37">
        <v>96.6</v>
      </c>
      <c r="I26" s="6">
        <v>356</v>
      </c>
      <c r="J26" s="37">
        <v>36.73</v>
      </c>
      <c r="K26" s="6">
        <v>1554</v>
      </c>
      <c r="L26" s="37">
        <v>66.51</v>
      </c>
      <c r="M26" s="6">
        <v>0.2</v>
      </c>
      <c r="N26" s="35">
        <v>1.233</v>
      </c>
      <c r="O26" s="39">
        <f>5.6*3.6</f>
        <v>20.16</v>
      </c>
      <c r="P26" s="6">
        <v>1704</v>
      </c>
      <c r="Q26" s="36">
        <v>167.6</v>
      </c>
      <c r="R26" s="37">
        <v>8.03</v>
      </c>
      <c r="S26" s="36">
        <v>876</v>
      </c>
      <c r="T26" s="6">
        <v>1225</v>
      </c>
      <c r="U26" s="37">
        <v>31.29</v>
      </c>
      <c r="V26" s="6">
        <v>1153</v>
      </c>
      <c r="W26" s="37">
        <v>-48.23</v>
      </c>
      <c r="X26" s="6">
        <v>600</v>
      </c>
      <c r="Y26" s="39">
        <v>2.314</v>
      </c>
      <c r="Z26" s="32"/>
    </row>
    <row r="27" spans="1:25" ht="12.75">
      <c r="A27" s="6">
        <v>2019</v>
      </c>
      <c r="B27" s="53">
        <v>43762</v>
      </c>
      <c r="C27" s="6">
        <v>33.93</v>
      </c>
      <c r="D27" s="6">
        <v>1424</v>
      </c>
      <c r="E27" s="6">
        <v>18.48</v>
      </c>
      <c r="F27" s="6">
        <v>529</v>
      </c>
      <c r="G27" s="37">
        <v>26.12</v>
      </c>
      <c r="H27" s="37">
        <v>85.3</v>
      </c>
      <c r="I27" s="6">
        <v>555</v>
      </c>
      <c r="J27" s="37">
        <v>31.56</v>
      </c>
      <c r="K27" s="6">
        <v>1601</v>
      </c>
      <c r="L27" s="37">
        <v>57.47</v>
      </c>
      <c r="M27" s="6">
        <v>0</v>
      </c>
      <c r="N27" s="35">
        <v>2.317</v>
      </c>
      <c r="O27" s="39">
        <f>6.575*3.6</f>
        <v>23.67</v>
      </c>
      <c r="P27" s="6">
        <v>1109</v>
      </c>
      <c r="Q27" s="36">
        <v>4.896</v>
      </c>
      <c r="R27" s="34">
        <v>8.66</v>
      </c>
      <c r="S27" s="36">
        <v>948</v>
      </c>
      <c r="T27" s="6">
        <v>1229</v>
      </c>
      <c r="U27" s="37">
        <v>23.65</v>
      </c>
      <c r="V27" s="6">
        <v>1202</v>
      </c>
      <c r="W27" s="6">
        <v>-46.35</v>
      </c>
      <c r="X27" s="6">
        <v>22</v>
      </c>
      <c r="Y27" s="39">
        <v>2.96</v>
      </c>
    </row>
    <row r="28" spans="1:26" ht="12.75">
      <c r="A28" s="6">
        <v>2019</v>
      </c>
      <c r="B28" s="53">
        <v>43763</v>
      </c>
      <c r="C28" s="37">
        <v>36.11</v>
      </c>
      <c r="D28" s="6">
        <v>1502</v>
      </c>
      <c r="E28" s="6">
        <v>19.14</v>
      </c>
      <c r="F28" s="6">
        <v>523</v>
      </c>
      <c r="G28" s="37">
        <v>27.61</v>
      </c>
      <c r="H28" s="37">
        <v>83.1</v>
      </c>
      <c r="I28" s="6">
        <v>255</v>
      </c>
      <c r="J28" s="37">
        <v>20.35</v>
      </c>
      <c r="K28" s="6">
        <v>1203</v>
      </c>
      <c r="L28" s="37">
        <v>47.68</v>
      </c>
      <c r="M28" s="6">
        <v>0</v>
      </c>
      <c r="N28" s="35">
        <v>1.95</v>
      </c>
      <c r="O28" s="35">
        <f>6.8*3.6</f>
        <v>24.48</v>
      </c>
      <c r="P28" s="6">
        <v>1328</v>
      </c>
      <c r="Q28" s="43">
        <v>207.7</v>
      </c>
      <c r="R28" s="37">
        <v>7.7</v>
      </c>
      <c r="S28" s="36">
        <v>767</v>
      </c>
      <c r="T28" s="6">
        <v>1108</v>
      </c>
      <c r="U28" s="37">
        <v>27.03</v>
      </c>
      <c r="V28" s="6">
        <v>1244</v>
      </c>
      <c r="W28" s="37">
        <v>-45.65</v>
      </c>
      <c r="X28" s="6">
        <v>2359</v>
      </c>
      <c r="Y28" s="35">
        <v>3.454</v>
      </c>
      <c r="Z28" s="27"/>
    </row>
    <row r="29" spans="1:26" ht="12.75">
      <c r="A29" s="6">
        <v>2019</v>
      </c>
      <c r="B29" s="53">
        <v>43764</v>
      </c>
      <c r="C29" s="6">
        <v>35.98</v>
      </c>
      <c r="D29" s="6">
        <v>1554</v>
      </c>
      <c r="E29" s="37">
        <v>20.4</v>
      </c>
      <c r="F29" s="6">
        <v>606</v>
      </c>
      <c r="G29" s="37">
        <v>27.9</v>
      </c>
      <c r="H29" s="37">
        <v>71.1</v>
      </c>
      <c r="I29" s="6">
        <v>604</v>
      </c>
      <c r="J29" s="37">
        <v>21.48</v>
      </c>
      <c r="K29" s="6">
        <v>1609</v>
      </c>
      <c r="L29" s="37">
        <v>45.27</v>
      </c>
      <c r="M29" s="6">
        <v>0</v>
      </c>
      <c r="N29" s="35">
        <v>1.815</v>
      </c>
      <c r="O29" s="39">
        <f>7.62*3.6</f>
        <v>27.432000000000002</v>
      </c>
      <c r="P29" s="6">
        <v>2209</v>
      </c>
      <c r="Q29" s="36">
        <v>77.9</v>
      </c>
      <c r="R29" s="37">
        <v>10.63</v>
      </c>
      <c r="S29" s="36">
        <v>841</v>
      </c>
      <c r="T29" s="6">
        <v>1209</v>
      </c>
      <c r="U29" s="37">
        <v>23.27</v>
      </c>
      <c r="V29" s="6">
        <v>1220</v>
      </c>
      <c r="W29" s="6">
        <v>-46.09</v>
      </c>
      <c r="X29" s="6">
        <v>10</v>
      </c>
      <c r="Y29" s="35">
        <v>3.581</v>
      </c>
      <c r="Z29" s="27"/>
    </row>
    <row r="30" spans="1:25" ht="12.75">
      <c r="A30" s="6">
        <v>2019</v>
      </c>
      <c r="B30" s="53">
        <v>43765</v>
      </c>
      <c r="C30" s="6">
        <v>36.11</v>
      </c>
      <c r="D30" s="6">
        <v>1430</v>
      </c>
      <c r="E30" s="37">
        <v>20.26</v>
      </c>
      <c r="F30" s="6">
        <v>609</v>
      </c>
      <c r="G30" s="6">
        <v>27.65</v>
      </c>
      <c r="H30" s="37">
        <v>82.3</v>
      </c>
      <c r="I30" s="6">
        <v>2334</v>
      </c>
      <c r="J30" s="37">
        <v>24.27</v>
      </c>
      <c r="K30" s="6">
        <v>1430</v>
      </c>
      <c r="L30" s="37">
        <v>51.88</v>
      </c>
      <c r="M30" s="6">
        <v>8.1</v>
      </c>
      <c r="N30" s="39">
        <v>1.909</v>
      </c>
      <c r="O30" s="39">
        <f>7.4*3.6</f>
        <v>26.64</v>
      </c>
      <c r="P30" s="6">
        <v>1031</v>
      </c>
      <c r="Q30" s="36">
        <v>350.9</v>
      </c>
      <c r="R30" s="37">
        <v>7.39</v>
      </c>
      <c r="S30" s="36">
        <v>872</v>
      </c>
      <c r="T30" s="6">
        <v>1312</v>
      </c>
      <c r="U30" s="37">
        <v>19.22</v>
      </c>
      <c r="V30" s="6">
        <v>1234</v>
      </c>
      <c r="W30" s="37">
        <v>-44.89</v>
      </c>
      <c r="X30" s="6">
        <v>2201</v>
      </c>
      <c r="Y30" s="35">
        <v>3.062</v>
      </c>
    </row>
    <row r="31" spans="1:25" ht="12.75">
      <c r="A31" s="6">
        <v>2019</v>
      </c>
      <c r="B31" s="53">
        <v>43766</v>
      </c>
      <c r="C31" s="6">
        <v>31.87</v>
      </c>
      <c r="D31" s="6">
        <v>1542</v>
      </c>
      <c r="E31" s="6">
        <v>18.54</v>
      </c>
      <c r="F31" s="6">
        <v>541</v>
      </c>
      <c r="G31" s="37">
        <v>24.79</v>
      </c>
      <c r="H31" s="37">
        <v>93</v>
      </c>
      <c r="I31" s="6">
        <v>413</v>
      </c>
      <c r="J31" s="37">
        <v>31.89</v>
      </c>
      <c r="K31" s="6">
        <v>1526</v>
      </c>
      <c r="L31" s="37">
        <v>62.95</v>
      </c>
      <c r="M31" s="6">
        <v>0.8</v>
      </c>
      <c r="N31" s="6">
        <v>1.955</v>
      </c>
      <c r="O31" s="39">
        <f>7.17*3.6</f>
        <v>25.812</v>
      </c>
      <c r="P31" s="6">
        <v>916</v>
      </c>
      <c r="Q31" s="36">
        <v>160.2</v>
      </c>
      <c r="R31" s="37">
        <v>6.776</v>
      </c>
      <c r="S31" s="36">
        <v>941</v>
      </c>
      <c r="T31" s="6">
        <v>1218</v>
      </c>
      <c r="U31" s="37">
        <v>18.1</v>
      </c>
      <c r="V31" s="6">
        <v>1257</v>
      </c>
      <c r="W31" s="37">
        <v>-42.97</v>
      </c>
      <c r="X31" s="6">
        <v>31</v>
      </c>
      <c r="Y31" s="35">
        <v>2.125</v>
      </c>
    </row>
    <row r="32" spans="1:25" ht="12.75">
      <c r="A32" s="6">
        <v>2019</v>
      </c>
      <c r="B32" s="53">
        <v>43767</v>
      </c>
      <c r="C32" s="37">
        <v>33.53</v>
      </c>
      <c r="D32" s="6">
        <v>1536</v>
      </c>
      <c r="E32" s="37">
        <v>19.79</v>
      </c>
      <c r="F32" s="6">
        <v>0</v>
      </c>
      <c r="G32" s="37">
        <v>25.64</v>
      </c>
      <c r="H32" s="37">
        <v>85.7</v>
      </c>
      <c r="I32" s="6">
        <v>618</v>
      </c>
      <c r="J32" s="37">
        <v>31.43</v>
      </c>
      <c r="K32" s="6">
        <v>1708</v>
      </c>
      <c r="L32" s="37">
        <v>61.17</v>
      </c>
      <c r="M32" s="6">
        <v>0.3</v>
      </c>
      <c r="N32" s="35">
        <v>1.795</v>
      </c>
      <c r="O32" s="39">
        <f>14.15*3.6</f>
        <v>50.940000000000005</v>
      </c>
      <c r="P32" s="6">
        <v>2352</v>
      </c>
      <c r="Q32" s="36">
        <v>120.9</v>
      </c>
      <c r="R32" s="37">
        <v>7.29</v>
      </c>
      <c r="S32" s="36">
        <v>781</v>
      </c>
      <c r="T32" s="6">
        <v>1339</v>
      </c>
      <c r="U32" s="37">
        <v>5.172</v>
      </c>
      <c r="V32" s="6">
        <v>1359</v>
      </c>
      <c r="W32" s="37">
        <v>-44.54</v>
      </c>
      <c r="X32" s="6">
        <v>2311</v>
      </c>
      <c r="Y32" s="35">
        <v>2.499</v>
      </c>
    </row>
    <row r="33" spans="1:25" ht="12.75">
      <c r="A33" s="6">
        <v>2019</v>
      </c>
      <c r="B33" s="53">
        <v>43768</v>
      </c>
      <c r="C33" s="37">
        <v>34.66</v>
      </c>
      <c r="D33" s="6">
        <v>1536</v>
      </c>
      <c r="E33" s="6">
        <v>18.39</v>
      </c>
      <c r="F33" s="6">
        <v>16</v>
      </c>
      <c r="G33" s="37">
        <v>26.05</v>
      </c>
      <c r="H33" s="37">
        <v>90</v>
      </c>
      <c r="I33" s="6">
        <v>534</v>
      </c>
      <c r="J33" s="37">
        <v>27.65</v>
      </c>
      <c r="K33" s="6">
        <v>1544</v>
      </c>
      <c r="L33" s="37">
        <v>59.74</v>
      </c>
      <c r="M33" s="36">
        <v>4.3</v>
      </c>
      <c r="N33" s="35">
        <v>1.847</v>
      </c>
      <c r="O33" s="39">
        <f>7.77*3.6</f>
        <v>27.971999999999998</v>
      </c>
      <c r="P33" s="6">
        <v>3</v>
      </c>
      <c r="Q33" s="36">
        <v>102.4</v>
      </c>
      <c r="R33" s="37">
        <v>5.946</v>
      </c>
      <c r="S33" s="36">
        <v>790</v>
      </c>
      <c r="T33" s="6">
        <v>1222</v>
      </c>
      <c r="U33" s="37">
        <v>30.21</v>
      </c>
      <c r="V33" s="6">
        <v>1250</v>
      </c>
      <c r="W33" s="37">
        <v>-45.45</v>
      </c>
      <c r="X33" s="6">
        <v>37</v>
      </c>
      <c r="Y33" s="35">
        <v>2.156</v>
      </c>
    </row>
    <row r="34" spans="1:25" ht="12.75">
      <c r="A34" s="6">
        <v>2019</v>
      </c>
      <c r="B34" s="53">
        <v>43769</v>
      </c>
      <c r="C34" s="6">
        <v>33.99</v>
      </c>
      <c r="D34" s="6">
        <v>1512</v>
      </c>
      <c r="E34" s="37">
        <v>19.93</v>
      </c>
      <c r="F34" s="6">
        <v>527</v>
      </c>
      <c r="G34" s="37">
        <v>26.03</v>
      </c>
      <c r="H34" s="37">
        <v>85.5</v>
      </c>
      <c r="I34" s="6">
        <v>434</v>
      </c>
      <c r="J34" s="6">
        <v>29.44</v>
      </c>
      <c r="K34" s="6">
        <v>1632</v>
      </c>
      <c r="L34" s="37">
        <v>61.67</v>
      </c>
      <c r="M34" s="6">
        <v>0</v>
      </c>
      <c r="N34" s="35">
        <v>1.413</v>
      </c>
      <c r="O34" s="39">
        <f>6.575*3.6</f>
        <v>23.67</v>
      </c>
      <c r="P34" s="6">
        <v>1830</v>
      </c>
      <c r="Q34" s="36">
        <v>34.93</v>
      </c>
      <c r="R34" s="37">
        <v>7.44</v>
      </c>
      <c r="S34" s="36">
        <v>821</v>
      </c>
      <c r="T34" s="6">
        <v>1317</v>
      </c>
      <c r="U34" s="37">
        <v>29.83</v>
      </c>
      <c r="V34" s="6">
        <v>1257</v>
      </c>
      <c r="W34" s="37">
        <v>-42.66</v>
      </c>
      <c r="X34" s="6">
        <v>234</v>
      </c>
      <c r="Y34" s="35">
        <v>2.419</v>
      </c>
    </row>
    <row r="35" spans="3:25" ht="12.75">
      <c r="C35" s="40">
        <f>AVERAGE(C4:C34)</f>
        <v>33.8074193548387</v>
      </c>
      <c r="D35" s="33"/>
      <c r="E35" s="40">
        <f>AVERAGE(E4:E34)</f>
        <v>18.987419354838707</v>
      </c>
      <c r="F35" s="33"/>
      <c r="G35" s="40">
        <f>AVERAGE(G4:G34)</f>
        <v>25.981290322580637</v>
      </c>
      <c r="H35" s="40">
        <f>AVERAGE(H4:H34)</f>
        <v>83.98709677419353</v>
      </c>
      <c r="I35" s="33"/>
      <c r="J35" s="40">
        <f>AVERAGE(J4:J34)</f>
        <v>28.960645161290323</v>
      </c>
      <c r="K35" s="33"/>
      <c r="L35" s="40">
        <f>AVERAGE(L4:L34)</f>
        <v>55.916451612903245</v>
      </c>
      <c r="M35" s="41">
        <f>SUM(M4:M34)</f>
        <v>38.79999999999999</v>
      </c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41">
        <f>SUM(Y4:Y34)</f>
        <v>88.79299999999999</v>
      </c>
    </row>
  </sheetData>
  <sheetProtection/>
  <mergeCells count="3">
    <mergeCell ref="A1:B1"/>
    <mergeCell ref="A2:A3"/>
    <mergeCell ref="B2:B3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68" r:id="rId1"/>
  <headerFooter alignWithMargins="0">
    <oddHeader>&amp;C&amp;"Arial,Negrito"DADOS METEOROLÓGICOS - ESTAÇÃO EXPERIMENTAL DE CITRICULTURA DE BEBEDOURO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A34"/>
  <sheetViews>
    <sheetView view="pageBreakPreview" zoomScale="75" zoomScaleSheetLayoutView="75" zoomScalePageLayoutView="0" workbookViewId="0" topLeftCell="B2">
      <selection activeCell="R34" sqref="R34"/>
    </sheetView>
  </sheetViews>
  <sheetFormatPr defaultColWidth="9.140625" defaultRowHeight="12.75"/>
  <cols>
    <col min="1" max="1" width="7.140625" style="0" customWidth="1"/>
    <col min="2" max="2" width="8.28125" style="0" customWidth="1"/>
    <col min="3" max="3" width="9.7109375" style="0" customWidth="1"/>
    <col min="6" max="6" width="8.28125" style="0" customWidth="1"/>
    <col min="7" max="7" width="9.7109375" style="0" customWidth="1"/>
    <col min="9" max="9" width="7.28125" style="0" customWidth="1"/>
    <col min="11" max="11" width="7.140625" style="0" customWidth="1"/>
    <col min="13" max="13" width="8.28125" style="0" customWidth="1"/>
    <col min="14" max="14" width="10.00390625" style="0" bestFit="1" customWidth="1"/>
    <col min="16" max="16" width="7.7109375" style="0" customWidth="1"/>
    <col min="17" max="17" width="6.57421875" style="0" customWidth="1"/>
    <col min="18" max="18" width="7.8515625" style="0" customWidth="1"/>
    <col min="19" max="19" width="8.7109375" style="0" customWidth="1"/>
    <col min="20" max="20" width="8.00390625" style="0" customWidth="1"/>
    <col min="21" max="21" width="8.140625" style="0" customWidth="1"/>
    <col min="22" max="22" width="7.00390625" style="0" customWidth="1"/>
    <col min="23" max="23" width="7.7109375" style="0" customWidth="1"/>
    <col min="24" max="24" width="6.7109375" style="0" customWidth="1"/>
    <col min="25" max="25" width="7.28125" style="0" customWidth="1"/>
  </cols>
  <sheetData>
    <row r="1" spans="1:5" ht="12.75">
      <c r="A1" s="65">
        <v>39448</v>
      </c>
      <c r="B1" s="65"/>
      <c r="C1" s="8">
        <v>1</v>
      </c>
      <c r="E1">
        <v>3.6</v>
      </c>
    </row>
    <row r="2" spans="1:25" ht="33.75">
      <c r="A2" s="66" t="s">
        <v>12</v>
      </c>
      <c r="B2" s="66" t="s">
        <v>13</v>
      </c>
      <c r="C2" s="9" t="s">
        <v>14</v>
      </c>
      <c r="D2" s="9" t="s">
        <v>15</v>
      </c>
      <c r="E2" s="9" t="s">
        <v>16</v>
      </c>
      <c r="F2" s="9" t="s">
        <v>17</v>
      </c>
      <c r="G2" s="9" t="s">
        <v>18</v>
      </c>
      <c r="H2" s="9" t="s">
        <v>19</v>
      </c>
      <c r="I2" s="9" t="s">
        <v>15</v>
      </c>
      <c r="J2" s="9" t="s">
        <v>20</v>
      </c>
      <c r="K2" s="9" t="s">
        <v>17</v>
      </c>
      <c r="L2" s="9" t="s">
        <v>21</v>
      </c>
      <c r="M2" s="10" t="s">
        <v>22</v>
      </c>
      <c r="N2" s="9" t="s">
        <v>23</v>
      </c>
      <c r="O2" s="9" t="s">
        <v>24</v>
      </c>
      <c r="P2" s="9" t="s">
        <v>15</v>
      </c>
      <c r="Q2" s="9" t="s">
        <v>35</v>
      </c>
      <c r="R2" s="9" t="s">
        <v>44</v>
      </c>
      <c r="S2" s="9" t="s">
        <v>26</v>
      </c>
      <c r="T2" s="10" t="s">
        <v>15</v>
      </c>
      <c r="U2" s="9" t="s">
        <v>27</v>
      </c>
      <c r="V2" s="9" t="s">
        <v>15</v>
      </c>
      <c r="W2" s="9" t="s">
        <v>28</v>
      </c>
      <c r="X2" s="9" t="s">
        <v>17</v>
      </c>
      <c r="Y2" s="10" t="s">
        <v>29</v>
      </c>
    </row>
    <row r="3" spans="1:25" ht="12.75">
      <c r="A3" s="67"/>
      <c r="B3" s="67"/>
      <c r="C3" s="10" t="s">
        <v>30</v>
      </c>
      <c r="D3" s="10"/>
      <c r="E3" s="10" t="s">
        <v>30</v>
      </c>
      <c r="F3" s="10"/>
      <c r="G3" s="10" t="s">
        <v>30</v>
      </c>
      <c r="H3" s="10" t="s">
        <v>31</v>
      </c>
      <c r="I3" s="10"/>
      <c r="J3" s="10" t="s">
        <v>31</v>
      </c>
      <c r="K3" s="10"/>
      <c r="L3" s="10" t="s">
        <v>31</v>
      </c>
      <c r="M3" s="10" t="s">
        <v>32</v>
      </c>
      <c r="N3" s="10" t="s">
        <v>33</v>
      </c>
      <c r="O3" s="10" t="s">
        <v>42</v>
      </c>
      <c r="P3" s="10"/>
      <c r="Q3" s="10"/>
      <c r="R3" s="10" t="s">
        <v>43</v>
      </c>
      <c r="S3" s="10"/>
      <c r="T3" s="10"/>
      <c r="U3" s="10"/>
      <c r="V3" s="10"/>
      <c r="W3" s="10"/>
      <c r="X3" s="10"/>
      <c r="Y3" s="10" t="s">
        <v>32</v>
      </c>
    </row>
    <row r="4" spans="1:25" ht="12.75">
      <c r="A4" s="6">
        <v>2019</v>
      </c>
      <c r="B4" s="53">
        <v>43770</v>
      </c>
      <c r="C4" s="37">
        <v>34.32</v>
      </c>
      <c r="D4" s="6">
        <v>1416</v>
      </c>
      <c r="E4" s="37">
        <v>20.33</v>
      </c>
      <c r="F4" s="6">
        <v>532</v>
      </c>
      <c r="G4" s="6">
        <v>25.71</v>
      </c>
      <c r="H4" s="37">
        <v>88.2</v>
      </c>
      <c r="I4" s="6">
        <v>531</v>
      </c>
      <c r="J4" s="6">
        <v>32.49</v>
      </c>
      <c r="K4" s="6">
        <v>1502</v>
      </c>
      <c r="L4" s="37">
        <v>64.96</v>
      </c>
      <c r="M4" s="6">
        <v>0</v>
      </c>
      <c r="N4" s="35">
        <v>2.308</v>
      </c>
      <c r="O4" s="39">
        <f>8.52*3.6</f>
        <v>30.672</v>
      </c>
      <c r="P4" s="6">
        <v>1823</v>
      </c>
      <c r="Q4" s="36">
        <v>80.6</v>
      </c>
      <c r="R4" s="37">
        <v>5.802</v>
      </c>
      <c r="S4" s="36">
        <v>886</v>
      </c>
      <c r="T4" s="6">
        <v>1242</v>
      </c>
      <c r="U4" s="37">
        <v>27.34</v>
      </c>
      <c r="V4" s="6">
        <v>1251</v>
      </c>
      <c r="W4" s="37">
        <v>-43.22</v>
      </c>
      <c r="X4" s="6">
        <v>57</v>
      </c>
      <c r="Y4" s="35">
        <v>2.407</v>
      </c>
    </row>
    <row r="5" spans="1:25" ht="12.75">
      <c r="A5" s="6">
        <v>2019</v>
      </c>
      <c r="B5" s="53">
        <v>43771</v>
      </c>
      <c r="C5" s="37">
        <v>33.66</v>
      </c>
      <c r="D5" s="6">
        <v>1418</v>
      </c>
      <c r="E5" s="37">
        <v>19.59</v>
      </c>
      <c r="F5" s="6">
        <v>540</v>
      </c>
      <c r="G5" s="6">
        <v>25.85</v>
      </c>
      <c r="H5" s="37">
        <v>85.7</v>
      </c>
      <c r="I5" s="6">
        <v>541</v>
      </c>
      <c r="J5" s="6">
        <v>34.08</v>
      </c>
      <c r="K5" s="6">
        <v>1415</v>
      </c>
      <c r="L5" s="37">
        <v>61.02</v>
      </c>
      <c r="M5" s="6">
        <v>0</v>
      </c>
      <c r="N5" s="35">
        <v>1.829</v>
      </c>
      <c r="O5" s="39">
        <f>7.47*3.6</f>
        <v>26.892</v>
      </c>
      <c r="P5" s="6">
        <v>942</v>
      </c>
      <c r="Q5" s="36">
        <v>71.1</v>
      </c>
      <c r="R5" s="37">
        <v>8.21</v>
      </c>
      <c r="S5" s="36">
        <v>933</v>
      </c>
      <c r="T5" s="6">
        <v>1153</v>
      </c>
      <c r="U5" s="37">
        <v>29.44</v>
      </c>
      <c r="V5" s="6">
        <v>1714</v>
      </c>
      <c r="W5" s="37">
        <v>-42.27</v>
      </c>
      <c r="X5" s="6">
        <v>2328</v>
      </c>
      <c r="Y5" s="35">
        <v>2.683</v>
      </c>
    </row>
    <row r="6" spans="1:25" ht="12.75">
      <c r="A6" s="6">
        <v>2019</v>
      </c>
      <c r="B6" s="53">
        <v>43772</v>
      </c>
      <c r="C6" s="37">
        <v>35.98</v>
      </c>
      <c r="D6" s="6">
        <v>1425</v>
      </c>
      <c r="E6" s="37">
        <v>19.28</v>
      </c>
      <c r="F6" s="6">
        <v>359</v>
      </c>
      <c r="G6" s="6">
        <v>27.76</v>
      </c>
      <c r="H6" s="37">
        <v>87.9</v>
      </c>
      <c r="I6" s="6">
        <v>359</v>
      </c>
      <c r="J6" s="6">
        <v>21.28</v>
      </c>
      <c r="K6" s="6">
        <v>1353</v>
      </c>
      <c r="L6" s="37">
        <v>52.38</v>
      </c>
      <c r="M6" s="6">
        <v>0</v>
      </c>
      <c r="N6" s="35">
        <v>1.091</v>
      </c>
      <c r="O6" s="39">
        <f>6.575*3.6</f>
        <v>23.67</v>
      </c>
      <c r="P6" s="6">
        <v>903</v>
      </c>
      <c r="Q6" s="36">
        <v>10.08</v>
      </c>
      <c r="R6" s="37">
        <v>9.3</v>
      </c>
      <c r="S6" s="36">
        <v>851</v>
      </c>
      <c r="T6" s="6">
        <v>1214</v>
      </c>
      <c r="U6" s="37">
        <v>45.53</v>
      </c>
      <c r="V6" s="6">
        <v>1431</v>
      </c>
      <c r="W6" s="37">
        <v>-45.8</v>
      </c>
      <c r="X6" s="6">
        <v>356</v>
      </c>
      <c r="Y6" s="35">
        <v>2.903</v>
      </c>
    </row>
    <row r="7" spans="1:25" ht="12.75">
      <c r="A7" s="6">
        <v>2019</v>
      </c>
      <c r="B7" s="53">
        <v>43773</v>
      </c>
      <c r="C7" s="37">
        <v>35.85</v>
      </c>
      <c r="D7" s="6">
        <v>1412</v>
      </c>
      <c r="E7" s="37">
        <v>20.19</v>
      </c>
      <c r="F7" s="6">
        <v>550</v>
      </c>
      <c r="G7" s="37">
        <v>28.58</v>
      </c>
      <c r="H7" s="37">
        <v>88.5</v>
      </c>
      <c r="I7" s="6">
        <v>553</v>
      </c>
      <c r="J7" s="37">
        <v>28.31</v>
      </c>
      <c r="K7" s="6">
        <v>1412</v>
      </c>
      <c r="L7" s="37">
        <v>54.2</v>
      </c>
      <c r="M7" s="6">
        <v>0</v>
      </c>
      <c r="N7" s="35">
        <v>1.161</v>
      </c>
      <c r="O7" s="39">
        <f>6.875*3.6</f>
        <v>24.75</v>
      </c>
      <c r="P7" s="6">
        <v>1432</v>
      </c>
      <c r="Q7" s="36">
        <v>283.1</v>
      </c>
      <c r="R7" s="37">
        <v>8.13</v>
      </c>
      <c r="S7" s="36">
        <v>881</v>
      </c>
      <c r="T7" s="6">
        <v>1219</v>
      </c>
      <c r="U7" s="37">
        <v>48.25</v>
      </c>
      <c r="V7" s="6">
        <v>1310</v>
      </c>
      <c r="W7" s="37">
        <v>-44.06</v>
      </c>
      <c r="X7" s="6">
        <v>105</v>
      </c>
      <c r="Y7" s="35">
        <v>2.926</v>
      </c>
    </row>
    <row r="8" spans="1:25" ht="12.75">
      <c r="A8" s="6">
        <v>2019</v>
      </c>
      <c r="B8" s="53">
        <v>43774</v>
      </c>
      <c r="C8" s="37">
        <v>35.25</v>
      </c>
      <c r="D8" s="6">
        <v>1437</v>
      </c>
      <c r="E8" s="37">
        <v>20.65</v>
      </c>
      <c r="F8" s="6">
        <v>2342</v>
      </c>
      <c r="G8" s="37">
        <v>27.05</v>
      </c>
      <c r="H8" s="37">
        <v>94.2</v>
      </c>
      <c r="I8" s="6">
        <v>2354</v>
      </c>
      <c r="J8" s="37">
        <v>30.83</v>
      </c>
      <c r="K8" s="6">
        <v>1410</v>
      </c>
      <c r="L8" s="37">
        <v>64.07</v>
      </c>
      <c r="M8" s="36">
        <v>18.2</v>
      </c>
      <c r="N8" s="35">
        <v>2.344</v>
      </c>
      <c r="O8" s="35">
        <f>8.9*3.6</f>
        <v>32.04</v>
      </c>
      <c r="P8" s="6">
        <v>2111</v>
      </c>
      <c r="Q8" s="36">
        <v>122.7</v>
      </c>
      <c r="R8" s="37">
        <v>6.811</v>
      </c>
      <c r="S8" s="36">
        <v>1021</v>
      </c>
      <c r="T8" s="6">
        <v>1244</v>
      </c>
      <c r="U8" s="37">
        <v>46.95</v>
      </c>
      <c r="V8" s="6">
        <v>1318</v>
      </c>
      <c r="W8" s="6">
        <v>-51.38</v>
      </c>
      <c r="X8" s="6">
        <v>2359</v>
      </c>
      <c r="Y8" s="35">
        <v>2.383</v>
      </c>
    </row>
    <row r="9" spans="1:25" ht="12.75">
      <c r="A9" s="6">
        <v>2019</v>
      </c>
      <c r="B9" s="53">
        <v>43775</v>
      </c>
      <c r="C9" s="6">
        <v>30.81</v>
      </c>
      <c r="D9" s="6">
        <v>1505</v>
      </c>
      <c r="E9" s="37">
        <v>19.8</v>
      </c>
      <c r="F9" s="6">
        <v>522</v>
      </c>
      <c r="G9" s="6">
        <v>23.81</v>
      </c>
      <c r="H9" s="37">
        <v>96.2</v>
      </c>
      <c r="I9" s="6">
        <v>529</v>
      </c>
      <c r="J9" s="37">
        <v>49.53</v>
      </c>
      <c r="K9" s="6">
        <v>1506</v>
      </c>
      <c r="L9" s="37">
        <v>78.9</v>
      </c>
      <c r="M9" s="36">
        <v>7.3</v>
      </c>
      <c r="N9" s="35">
        <v>2.506</v>
      </c>
      <c r="O9" s="39">
        <f>7.32*3.6</f>
        <v>26.352</v>
      </c>
      <c r="P9" s="6">
        <v>1633</v>
      </c>
      <c r="Q9" s="36">
        <v>277.9</v>
      </c>
      <c r="R9" s="34">
        <v>5.692</v>
      </c>
      <c r="S9" s="36">
        <v>1018</v>
      </c>
      <c r="T9" s="6">
        <v>1104</v>
      </c>
      <c r="U9" s="37">
        <v>31.36</v>
      </c>
      <c r="V9" s="6">
        <v>1309</v>
      </c>
      <c r="W9" s="37">
        <v>-64.5</v>
      </c>
      <c r="X9" s="6">
        <v>24</v>
      </c>
      <c r="Y9" s="39">
        <v>1.626</v>
      </c>
    </row>
    <row r="10" spans="1:25" ht="12.75">
      <c r="A10" s="6">
        <v>2019</v>
      </c>
      <c r="B10" s="53">
        <v>43776</v>
      </c>
      <c r="C10" s="37">
        <v>33.13</v>
      </c>
      <c r="D10" s="6">
        <v>1435</v>
      </c>
      <c r="E10" s="37">
        <v>19.27</v>
      </c>
      <c r="F10" s="6">
        <v>510</v>
      </c>
      <c r="G10" s="37">
        <v>24.69</v>
      </c>
      <c r="H10" s="37">
        <v>94.5</v>
      </c>
      <c r="I10" s="6">
        <v>2357</v>
      </c>
      <c r="J10" s="37">
        <v>40.31</v>
      </c>
      <c r="K10" s="6">
        <v>1526</v>
      </c>
      <c r="L10" s="37">
        <v>73.1</v>
      </c>
      <c r="M10" s="6">
        <v>9.2</v>
      </c>
      <c r="N10" s="35">
        <v>2.001</v>
      </c>
      <c r="O10" s="39">
        <f>6.95*3.6</f>
        <v>25.02</v>
      </c>
      <c r="P10" s="6">
        <v>1847</v>
      </c>
      <c r="Q10" s="36">
        <v>16.29</v>
      </c>
      <c r="R10" s="37">
        <v>7.29</v>
      </c>
      <c r="S10" s="36">
        <v>1014</v>
      </c>
      <c r="T10" s="6">
        <v>1307</v>
      </c>
      <c r="U10" s="37">
        <v>24.19</v>
      </c>
      <c r="V10" s="6">
        <v>1135</v>
      </c>
      <c r="W10" s="37">
        <v>-48.14</v>
      </c>
      <c r="X10" s="6">
        <v>2024</v>
      </c>
      <c r="Y10" s="35">
        <v>2.136</v>
      </c>
    </row>
    <row r="11" spans="1:25" ht="12.75">
      <c r="A11" s="6">
        <v>2019</v>
      </c>
      <c r="B11" s="53">
        <v>43777</v>
      </c>
      <c r="C11" s="6">
        <v>29.71</v>
      </c>
      <c r="D11" s="6">
        <v>1301</v>
      </c>
      <c r="E11" s="6">
        <v>19.14</v>
      </c>
      <c r="F11" s="6">
        <v>320</v>
      </c>
      <c r="G11" s="6">
        <v>23.29</v>
      </c>
      <c r="H11" s="37">
        <v>97.4</v>
      </c>
      <c r="I11" s="6">
        <v>455</v>
      </c>
      <c r="J11" s="37">
        <v>44.37</v>
      </c>
      <c r="K11" s="6">
        <v>1302</v>
      </c>
      <c r="L11" s="37">
        <v>80</v>
      </c>
      <c r="M11" s="38">
        <v>0</v>
      </c>
      <c r="N11" s="35">
        <v>1.39</v>
      </c>
      <c r="O11" s="39">
        <f>5.15*3.6</f>
        <v>18.540000000000003</v>
      </c>
      <c r="P11" s="6">
        <v>707</v>
      </c>
      <c r="Q11" s="36">
        <v>272.8</v>
      </c>
      <c r="R11" s="37">
        <v>5.206</v>
      </c>
      <c r="S11" s="36">
        <v>993</v>
      </c>
      <c r="T11" s="6">
        <v>1253</v>
      </c>
      <c r="U11" s="37">
        <v>23.26</v>
      </c>
      <c r="V11" s="6">
        <v>1307</v>
      </c>
      <c r="W11" s="37">
        <v>-44.58</v>
      </c>
      <c r="X11" s="6">
        <v>327</v>
      </c>
      <c r="Y11" s="35">
        <v>1.329</v>
      </c>
    </row>
    <row r="12" spans="1:25" ht="12.75">
      <c r="A12" s="6">
        <v>2019</v>
      </c>
      <c r="B12" s="53">
        <v>43778</v>
      </c>
      <c r="C12" s="37">
        <v>31.74</v>
      </c>
      <c r="D12" s="6">
        <v>1517</v>
      </c>
      <c r="E12" s="37">
        <v>21.05</v>
      </c>
      <c r="F12" s="6">
        <v>412</v>
      </c>
      <c r="G12" s="37">
        <v>24.93</v>
      </c>
      <c r="H12" s="37">
        <v>89.6</v>
      </c>
      <c r="I12" s="6">
        <v>438</v>
      </c>
      <c r="J12" s="37">
        <v>35.8</v>
      </c>
      <c r="K12" s="6">
        <v>1519</v>
      </c>
      <c r="L12" s="37">
        <v>72.5</v>
      </c>
      <c r="M12" s="38">
        <v>0</v>
      </c>
      <c r="N12" s="35">
        <v>1.461</v>
      </c>
      <c r="O12" s="39">
        <f>4.7*3.6</f>
        <v>16.92</v>
      </c>
      <c r="P12" s="6">
        <v>1425</v>
      </c>
      <c r="Q12" s="36">
        <v>164.8</v>
      </c>
      <c r="R12" s="37">
        <v>5.087</v>
      </c>
      <c r="S12" s="36">
        <v>945</v>
      </c>
      <c r="T12" s="6">
        <v>1311</v>
      </c>
      <c r="U12" s="37">
        <v>20.39</v>
      </c>
      <c r="V12" s="6">
        <v>1417</v>
      </c>
      <c r="W12" s="37">
        <v>-39.85</v>
      </c>
      <c r="X12" s="6">
        <v>3</v>
      </c>
      <c r="Y12" s="35">
        <v>1.531</v>
      </c>
    </row>
    <row r="13" spans="1:25" ht="12.75">
      <c r="A13" s="6">
        <v>2019</v>
      </c>
      <c r="B13" s="53">
        <v>43779</v>
      </c>
      <c r="C13" s="37">
        <v>27.78</v>
      </c>
      <c r="D13" s="6">
        <v>1651</v>
      </c>
      <c r="E13" s="37">
        <v>21.25</v>
      </c>
      <c r="F13" s="6">
        <v>616</v>
      </c>
      <c r="G13" s="37">
        <v>23.98</v>
      </c>
      <c r="H13" s="37">
        <v>96.4</v>
      </c>
      <c r="I13" s="6">
        <v>658</v>
      </c>
      <c r="J13" s="37">
        <v>59.69</v>
      </c>
      <c r="K13" s="6">
        <v>1238</v>
      </c>
      <c r="L13" s="37">
        <v>78.8</v>
      </c>
      <c r="M13" s="6">
        <v>1.7</v>
      </c>
      <c r="N13" s="35">
        <v>1.371</v>
      </c>
      <c r="O13" s="39">
        <f>4.775*3.6</f>
        <v>17.19</v>
      </c>
      <c r="P13" s="6">
        <v>1149</v>
      </c>
      <c r="Q13" s="36">
        <v>90.6</v>
      </c>
      <c r="R13" s="37">
        <v>3.36</v>
      </c>
      <c r="S13" s="36">
        <v>607.3</v>
      </c>
      <c r="T13" s="6">
        <v>1148</v>
      </c>
      <c r="U13" s="37">
        <v>15.6</v>
      </c>
      <c r="V13" s="6">
        <v>1034</v>
      </c>
      <c r="W13" s="37">
        <v>-37.52</v>
      </c>
      <c r="X13" s="6">
        <v>139</v>
      </c>
      <c r="Y13" s="35">
        <v>1.038</v>
      </c>
    </row>
    <row r="14" spans="1:26" ht="12.75">
      <c r="A14" s="6">
        <v>2019</v>
      </c>
      <c r="B14" s="53">
        <v>43780</v>
      </c>
      <c r="C14" s="6">
        <v>34.39</v>
      </c>
      <c r="D14" s="6">
        <v>1424</v>
      </c>
      <c r="E14" s="37">
        <v>20.46</v>
      </c>
      <c r="F14" s="6">
        <v>553</v>
      </c>
      <c r="G14" s="6">
        <v>26.66</v>
      </c>
      <c r="H14" s="37">
        <v>86.5</v>
      </c>
      <c r="I14" s="6">
        <v>613</v>
      </c>
      <c r="J14" s="6">
        <v>32.22</v>
      </c>
      <c r="K14" s="6">
        <v>1415</v>
      </c>
      <c r="L14" s="37">
        <v>61.13</v>
      </c>
      <c r="M14" s="6">
        <v>0</v>
      </c>
      <c r="N14" s="35">
        <v>2.683</v>
      </c>
      <c r="O14" s="39">
        <f>3.6*7.47</f>
        <v>26.892</v>
      </c>
      <c r="P14" s="6">
        <v>2114</v>
      </c>
      <c r="Q14" s="36">
        <v>107.5</v>
      </c>
      <c r="R14" s="37">
        <v>8.17</v>
      </c>
      <c r="S14" s="36">
        <v>801</v>
      </c>
      <c r="T14" s="6">
        <v>1243</v>
      </c>
      <c r="U14" s="37">
        <v>57.68</v>
      </c>
      <c r="V14" s="6">
        <v>1246</v>
      </c>
      <c r="W14" s="37">
        <v>-40.62</v>
      </c>
      <c r="X14" s="6">
        <v>2235</v>
      </c>
      <c r="Y14" s="39">
        <v>3.125</v>
      </c>
      <c r="Z14" s="13"/>
    </row>
    <row r="15" spans="1:25" ht="12.75">
      <c r="A15" s="6">
        <v>2019</v>
      </c>
      <c r="B15" s="53">
        <v>43781</v>
      </c>
      <c r="C15" s="6">
        <v>32.74</v>
      </c>
      <c r="D15" s="6">
        <v>1605</v>
      </c>
      <c r="E15" s="6">
        <v>18.88</v>
      </c>
      <c r="F15" s="6">
        <v>520</v>
      </c>
      <c r="G15" s="37">
        <v>25.6</v>
      </c>
      <c r="H15" s="37">
        <v>86.2</v>
      </c>
      <c r="I15" s="6">
        <v>519</v>
      </c>
      <c r="J15" s="6">
        <v>37.26</v>
      </c>
      <c r="K15" s="6">
        <v>1421</v>
      </c>
      <c r="L15" s="37">
        <v>62.72</v>
      </c>
      <c r="M15" s="6">
        <v>0</v>
      </c>
      <c r="N15" s="35">
        <v>2.253</v>
      </c>
      <c r="O15" s="39">
        <f>7.25*3.6</f>
        <v>26.1</v>
      </c>
      <c r="P15" s="6">
        <v>1010</v>
      </c>
      <c r="Q15" s="36">
        <v>78.4</v>
      </c>
      <c r="R15" s="37">
        <v>8.34</v>
      </c>
      <c r="S15" s="36">
        <v>884</v>
      </c>
      <c r="T15" s="6">
        <v>1252</v>
      </c>
      <c r="U15" s="37">
        <v>52.39</v>
      </c>
      <c r="V15" s="6">
        <v>1259</v>
      </c>
      <c r="W15" s="37">
        <v>-37.59</v>
      </c>
      <c r="X15" s="6">
        <v>2145</v>
      </c>
      <c r="Y15" s="39">
        <v>2.655</v>
      </c>
    </row>
    <row r="16" spans="1:25" ht="12.75">
      <c r="A16" s="6">
        <v>2019</v>
      </c>
      <c r="B16" s="53">
        <v>43782</v>
      </c>
      <c r="C16" s="37">
        <v>33.08</v>
      </c>
      <c r="D16" s="6">
        <v>1422</v>
      </c>
      <c r="E16" s="37">
        <v>19.47</v>
      </c>
      <c r="F16" s="6">
        <v>2107</v>
      </c>
      <c r="G16" s="6">
        <v>24.36</v>
      </c>
      <c r="H16" s="37">
        <v>96.7</v>
      </c>
      <c r="I16" s="6">
        <v>2353</v>
      </c>
      <c r="J16" s="37">
        <v>35.61</v>
      </c>
      <c r="K16" s="6">
        <v>1203</v>
      </c>
      <c r="L16" s="37">
        <v>71.6</v>
      </c>
      <c r="M16" s="6">
        <v>58.7</v>
      </c>
      <c r="N16" s="35">
        <v>2.755</v>
      </c>
      <c r="O16" s="39">
        <f>17.23*3.6</f>
        <v>62.028000000000006</v>
      </c>
      <c r="P16" s="6">
        <v>1502</v>
      </c>
      <c r="Q16" s="36">
        <v>255.5</v>
      </c>
      <c r="R16" s="37">
        <v>6.11</v>
      </c>
      <c r="S16" s="36">
        <v>934</v>
      </c>
      <c r="T16" s="6">
        <v>1250</v>
      </c>
      <c r="U16" s="37">
        <v>32.4</v>
      </c>
      <c r="V16" s="6">
        <v>1105</v>
      </c>
      <c r="W16" s="37">
        <v>-95.6</v>
      </c>
      <c r="X16" s="6">
        <v>2207</v>
      </c>
      <c r="Y16" s="35">
        <v>2.27</v>
      </c>
    </row>
    <row r="17" spans="1:25" ht="12.75">
      <c r="A17" s="6">
        <v>2019</v>
      </c>
      <c r="B17" s="53">
        <v>43783</v>
      </c>
      <c r="C17" s="37">
        <v>30.37</v>
      </c>
      <c r="D17" s="6">
        <v>1410</v>
      </c>
      <c r="E17" s="37">
        <v>19.67</v>
      </c>
      <c r="F17" s="6">
        <v>209</v>
      </c>
      <c r="G17" s="37">
        <v>22.76</v>
      </c>
      <c r="H17" s="37">
        <v>97.6</v>
      </c>
      <c r="I17" s="6">
        <v>502</v>
      </c>
      <c r="J17" s="6">
        <v>54.19</v>
      </c>
      <c r="K17" s="6">
        <v>1414</v>
      </c>
      <c r="L17" s="37">
        <v>84.5</v>
      </c>
      <c r="M17" s="6">
        <v>27.3</v>
      </c>
      <c r="N17" s="35">
        <v>1.749</v>
      </c>
      <c r="O17" s="39">
        <f>7.7*3.6</f>
        <v>27.720000000000002</v>
      </c>
      <c r="P17" s="6">
        <v>1555</v>
      </c>
      <c r="Q17" s="36">
        <v>296.9</v>
      </c>
      <c r="R17" s="37">
        <v>5.554</v>
      </c>
      <c r="S17" s="36">
        <v>981</v>
      </c>
      <c r="T17" s="6">
        <v>1121</v>
      </c>
      <c r="U17" s="37">
        <v>35.2</v>
      </c>
      <c r="V17" s="6">
        <v>1159</v>
      </c>
      <c r="W17" s="37">
        <v>-43.82</v>
      </c>
      <c r="X17" s="6">
        <v>205</v>
      </c>
      <c r="Y17" s="39">
        <v>1.469</v>
      </c>
    </row>
    <row r="18" spans="1:25" ht="12.75">
      <c r="A18" s="6">
        <v>2019</v>
      </c>
      <c r="B18" s="53">
        <v>43784</v>
      </c>
      <c r="C18" s="6">
        <v>23.83</v>
      </c>
      <c r="D18" s="6">
        <v>1700</v>
      </c>
      <c r="E18" s="37">
        <v>20.2</v>
      </c>
      <c r="F18" s="6">
        <v>320</v>
      </c>
      <c r="G18" s="6">
        <v>21.75</v>
      </c>
      <c r="H18" s="37">
        <v>97.9</v>
      </c>
      <c r="I18" s="6">
        <v>704</v>
      </c>
      <c r="J18" s="37">
        <v>77.1</v>
      </c>
      <c r="K18" s="6">
        <v>1019</v>
      </c>
      <c r="L18" s="37">
        <v>92.1</v>
      </c>
      <c r="M18" s="6">
        <v>5.4</v>
      </c>
      <c r="N18" s="35">
        <v>0.603</v>
      </c>
      <c r="O18" s="39">
        <f>3.95*3.6</f>
        <v>14.22</v>
      </c>
      <c r="P18" s="6">
        <v>1237</v>
      </c>
      <c r="Q18" s="36">
        <v>264.9</v>
      </c>
      <c r="R18" s="37">
        <v>3.046</v>
      </c>
      <c r="S18" s="36">
        <v>578.4</v>
      </c>
      <c r="T18" s="6">
        <v>206</v>
      </c>
      <c r="U18" s="37">
        <v>10.14</v>
      </c>
      <c r="V18" s="6">
        <v>1018</v>
      </c>
      <c r="W18" s="37">
        <v>-12.8</v>
      </c>
      <c r="X18" s="6">
        <v>10</v>
      </c>
      <c r="Y18" s="35">
        <v>0.527</v>
      </c>
    </row>
    <row r="19" spans="1:25" ht="12.75">
      <c r="A19" s="6">
        <v>2019</v>
      </c>
      <c r="B19" s="53">
        <v>43785</v>
      </c>
      <c r="C19" s="37">
        <v>30.62</v>
      </c>
      <c r="D19" s="6">
        <v>1556</v>
      </c>
      <c r="E19" s="37">
        <v>19.6</v>
      </c>
      <c r="F19" s="6">
        <v>641</v>
      </c>
      <c r="G19" s="37">
        <v>24.28</v>
      </c>
      <c r="H19" s="37">
        <v>97</v>
      </c>
      <c r="I19" s="6">
        <v>518</v>
      </c>
      <c r="J19" s="37">
        <v>38.13</v>
      </c>
      <c r="K19" s="6">
        <v>1655</v>
      </c>
      <c r="L19" s="37">
        <v>71.3</v>
      </c>
      <c r="M19" s="6">
        <v>0.6</v>
      </c>
      <c r="N19" s="35">
        <v>1.44</v>
      </c>
      <c r="O19" s="39">
        <f>4.325*3.6</f>
        <v>15.57</v>
      </c>
      <c r="P19" s="6">
        <v>2146</v>
      </c>
      <c r="Q19" s="36">
        <v>132.3</v>
      </c>
      <c r="R19" s="6">
        <v>8.95</v>
      </c>
      <c r="S19" s="36">
        <v>1011</v>
      </c>
      <c r="T19" s="6">
        <v>1233</v>
      </c>
      <c r="U19" s="37">
        <v>43.89</v>
      </c>
      <c r="V19" s="6">
        <v>1147</v>
      </c>
      <c r="W19" s="37">
        <v>-18.21</v>
      </c>
      <c r="X19" s="6">
        <v>2322</v>
      </c>
      <c r="Y19" s="35">
        <v>2.117</v>
      </c>
    </row>
    <row r="20" spans="1:25" ht="12.75">
      <c r="A20" s="6">
        <v>2019</v>
      </c>
      <c r="B20" s="53">
        <v>43786</v>
      </c>
      <c r="C20" s="37">
        <v>31.95</v>
      </c>
      <c r="D20" s="6">
        <v>1404</v>
      </c>
      <c r="E20" s="37">
        <v>17.95</v>
      </c>
      <c r="F20" s="6">
        <v>531</v>
      </c>
      <c r="G20" s="37">
        <v>24.57</v>
      </c>
      <c r="H20" s="37">
        <v>81.8</v>
      </c>
      <c r="I20" s="6">
        <v>532</v>
      </c>
      <c r="J20" s="6">
        <v>32.43</v>
      </c>
      <c r="K20" s="6">
        <v>1520</v>
      </c>
      <c r="L20" s="37">
        <v>57.18</v>
      </c>
      <c r="M20" s="38">
        <v>0</v>
      </c>
      <c r="N20" s="35">
        <v>2.581</v>
      </c>
      <c r="O20" s="39">
        <f>5.975*3.6</f>
        <v>21.509999999999998</v>
      </c>
      <c r="P20" s="6">
        <v>533</v>
      </c>
      <c r="Q20" s="36">
        <v>110.9</v>
      </c>
      <c r="R20" s="6">
        <v>9.68</v>
      </c>
      <c r="S20" s="36">
        <v>942</v>
      </c>
      <c r="T20" s="6">
        <v>1238</v>
      </c>
      <c r="U20" s="37">
        <v>44.12</v>
      </c>
      <c r="V20" s="6">
        <v>1134</v>
      </c>
      <c r="W20" s="6">
        <v>-19.72</v>
      </c>
      <c r="X20" s="6">
        <v>541</v>
      </c>
      <c r="Y20" s="35">
        <v>2.984</v>
      </c>
    </row>
    <row r="21" spans="1:25" ht="12.75">
      <c r="A21" s="6">
        <v>2019</v>
      </c>
      <c r="B21" s="53">
        <v>43787</v>
      </c>
      <c r="C21" s="6">
        <v>33.07</v>
      </c>
      <c r="D21" s="6">
        <v>1433</v>
      </c>
      <c r="E21" s="37">
        <v>17.42</v>
      </c>
      <c r="F21" s="6">
        <v>525</v>
      </c>
      <c r="G21" s="6">
        <v>25.03</v>
      </c>
      <c r="H21" s="37">
        <v>87.7</v>
      </c>
      <c r="I21" s="6">
        <v>2359</v>
      </c>
      <c r="J21" s="37">
        <v>30.1</v>
      </c>
      <c r="K21" s="6">
        <v>1455</v>
      </c>
      <c r="L21" s="37">
        <v>62.69</v>
      </c>
      <c r="M21" s="6">
        <v>0</v>
      </c>
      <c r="N21" s="35">
        <v>2.046</v>
      </c>
      <c r="O21" s="35">
        <f>6.275*3.6</f>
        <v>22.590000000000003</v>
      </c>
      <c r="P21" s="6">
        <v>1438</v>
      </c>
      <c r="Q21" s="36">
        <v>174.2</v>
      </c>
      <c r="R21" s="37">
        <v>9.93</v>
      </c>
      <c r="S21" s="36">
        <v>1031</v>
      </c>
      <c r="T21" s="6">
        <v>1233</v>
      </c>
      <c r="U21" s="37">
        <v>43.95</v>
      </c>
      <c r="V21" s="6">
        <v>1254</v>
      </c>
      <c r="W21" s="37">
        <v>-18.78</v>
      </c>
      <c r="X21" s="6">
        <v>56</v>
      </c>
      <c r="Y21" s="39">
        <v>3.055</v>
      </c>
    </row>
    <row r="22" spans="1:27" ht="12.75">
      <c r="A22" s="6">
        <v>2019</v>
      </c>
      <c r="B22" s="53">
        <v>43788</v>
      </c>
      <c r="C22" s="37">
        <v>31.75</v>
      </c>
      <c r="D22" s="6">
        <v>1422</v>
      </c>
      <c r="E22" s="37">
        <v>19.67</v>
      </c>
      <c r="F22" s="6">
        <v>443</v>
      </c>
      <c r="G22" s="37">
        <v>25.64</v>
      </c>
      <c r="H22" s="37">
        <v>94.9</v>
      </c>
      <c r="I22" s="6">
        <v>453</v>
      </c>
      <c r="J22" s="6">
        <v>39.06</v>
      </c>
      <c r="K22" s="6">
        <v>1619</v>
      </c>
      <c r="L22" s="37">
        <v>66.16</v>
      </c>
      <c r="M22" s="36">
        <v>0</v>
      </c>
      <c r="N22" s="35">
        <v>0.935</v>
      </c>
      <c r="O22" s="39">
        <f>6.575*3.6</f>
        <v>23.67</v>
      </c>
      <c r="P22" s="6">
        <v>1253</v>
      </c>
      <c r="Q22" s="36">
        <v>32.02</v>
      </c>
      <c r="R22" s="37">
        <v>7.45</v>
      </c>
      <c r="S22" s="36">
        <v>894</v>
      </c>
      <c r="T22" s="6">
        <v>1254</v>
      </c>
      <c r="U22" s="37">
        <v>41.5</v>
      </c>
      <c r="V22" s="6">
        <v>1236</v>
      </c>
      <c r="W22" s="37">
        <v>-30.96</v>
      </c>
      <c r="X22" s="6">
        <v>2051</v>
      </c>
      <c r="Y22" s="35">
        <v>2.03</v>
      </c>
      <c r="AA22" s="27"/>
    </row>
    <row r="23" spans="1:25" ht="12.75">
      <c r="A23" s="6">
        <v>2019</v>
      </c>
      <c r="B23" s="53">
        <v>43789</v>
      </c>
      <c r="C23" s="6">
        <v>32.02</v>
      </c>
      <c r="D23" s="6">
        <v>1354</v>
      </c>
      <c r="E23" s="37">
        <v>19.41</v>
      </c>
      <c r="F23" s="6">
        <v>441</v>
      </c>
      <c r="G23" s="6">
        <v>23.93</v>
      </c>
      <c r="H23" s="37">
        <v>92.6</v>
      </c>
      <c r="I23" s="6">
        <v>2057</v>
      </c>
      <c r="J23" s="37">
        <v>40.12</v>
      </c>
      <c r="K23" s="6">
        <v>1356</v>
      </c>
      <c r="L23" s="37">
        <v>72.9</v>
      </c>
      <c r="M23" s="6">
        <v>6.2</v>
      </c>
      <c r="N23" s="35">
        <v>1.4</v>
      </c>
      <c r="O23" s="35">
        <f>9.05*3.6</f>
        <v>32.580000000000005</v>
      </c>
      <c r="P23" s="6">
        <v>1646</v>
      </c>
      <c r="Q23" s="36">
        <v>193.2</v>
      </c>
      <c r="R23" s="37">
        <v>7.49</v>
      </c>
      <c r="S23" s="36">
        <v>924</v>
      </c>
      <c r="T23" s="6">
        <v>1145</v>
      </c>
      <c r="U23" s="37">
        <v>35.45</v>
      </c>
      <c r="V23" s="6">
        <v>1238</v>
      </c>
      <c r="W23" s="37">
        <v>-42.31</v>
      </c>
      <c r="X23" s="6">
        <v>1708</v>
      </c>
      <c r="Y23" s="39">
        <v>2.033</v>
      </c>
    </row>
    <row r="24" spans="1:25" ht="12.75">
      <c r="A24" s="6">
        <v>2019</v>
      </c>
      <c r="B24" s="53">
        <v>43790</v>
      </c>
      <c r="C24" s="37">
        <v>32.68</v>
      </c>
      <c r="D24" s="6">
        <v>1451</v>
      </c>
      <c r="E24" s="6">
        <v>19.48</v>
      </c>
      <c r="F24" s="6">
        <v>426</v>
      </c>
      <c r="G24" s="37">
        <v>25.34</v>
      </c>
      <c r="H24" s="37">
        <v>92.7</v>
      </c>
      <c r="I24" s="6">
        <v>427</v>
      </c>
      <c r="J24" s="37">
        <v>33.55</v>
      </c>
      <c r="K24" s="6">
        <v>1540</v>
      </c>
      <c r="L24" s="37">
        <v>65.51</v>
      </c>
      <c r="M24" s="38">
        <v>0</v>
      </c>
      <c r="N24" s="35">
        <v>1.763</v>
      </c>
      <c r="O24" s="35">
        <f>12.87*3.6</f>
        <v>46.332</v>
      </c>
      <c r="P24" s="6">
        <v>1345</v>
      </c>
      <c r="Q24" s="36">
        <v>90.9</v>
      </c>
      <c r="R24" s="37">
        <v>9.81</v>
      </c>
      <c r="S24" s="36">
        <v>939</v>
      </c>
      <c r="T24" s="6">
        <v>1113</v>
      </c>
      <c r="U24" s="37">
        <v>48.19</v>
      </c>
      <c r="V24" s="6">
        <v>1247</v>
      </c>
      <c r="W24" s="6">
        <v>-38.22</v>
      </c>
      <c r="X24" s="6">
        <v>2212</v>
      </c>
      <c r="Y24" s="39">
        <v>2.848</v>
      </c>
    </row>
    <row r="25" spans="1:25" ht="12.75">
      <c r="A25" s="6">
        <v>2019</v>
      </c>
      <c r="B25" s="53">
        <v>43791</v>
      </c>
      <c r="C25" s="37">
        <v>31.82</v>
      </c>
      <c r="D25" s="6">
        <v>1411</v>
      </c>
      <c r="E25" s="6">
        <v>19.47</v>
      </c>
      <c r="F25" s="6">
        <v>516</v>
      </c>
      <c r="G25" s="37">
        <v>24.55</v>
      </c>
      <c r="H25" s="37">
        <v>94.1</v>
      </c>
      <c r="I25" s="6">
        <v>519</v>
      </c>
      <c r="J25" s="6">
        <v>38.79</v>
      </c>
      <c r="K25" s="6">
        <v>1411</v>
      </c>
      <c r="L25" s="37">
        <v>71.9</v>
      </c>
      <c r="M25" s="36">
        <v>3.2</v>
      </c>
      <c r="N25" s="35">
        <v>1.317</v>
      </c>
      <c r="O25" s="35">
        <f>8*3.6</f>
        <v>28.8</v>
      </c>
      <c r="P25" s="6">
        <v>1433</v>
      </c>
      <c r="Q25" s="36">
        <v>354.4</v>
      </c>
      <c r="R25" s="37">
        <v>8.5</v>
      </c>
      <c r="S25" s="36">
        <v>1037</v>
      </c>
      <c r="T25" s="6">
        <v>1029</v>
      </c>
      <c r="U25" s="37">
        <v>37.29</v>
      </c>
      <c r="V25" s="6">
        <v>1348</v>
      </c>
      <c r="W25" s="6">
        <v>-36.35</v>
      </c>
      <c r="X25" s="6">
        <v>2021</v>
      </c>
      <c r="Y25" s="39">
        <v>2.329</v>
      </c>
    </row>
    <row r="26" spans="1:26" ht="12.75">
      <c r="A26" s="6">
        <v>2019</v>
      </c>
      <c r="B26" s="53">
        <v>43792</v>
      </c>
      <c r="C26" s="37">
        <v>32.75</v>
      </c>
      <c r="D26" s="6">
        <v>1154</v>
      </c>
      <c r="E26" s="6">
        <v>19.54</v>
      </c>
      <c r="F26" s="6">
        <v>343</v>
      </c>
      <c r="G26" s="6">
        <v>25.11</v>
      </c>
      <c r="H26" s="37">
        <v>95.1</v>
      </c>
      <c r="I26" s="6">
        <v>2344</v>
      </c>
      <c r="J26" s="6">
        <v>33.69</v>
      </c>
      <c r="K26" s="6">
        <v>1601</v>
      </c>
      <c r="L26" s="37">
        <v>71.3</v>
      </c>
      <c r="M26" s="6">
        <v>7.5</v>
      </c>
      <c r="N26" s="39">
        <v>1.598</v>
      </c>
      <c r="O26" s="39">
        <f>8.3*3.6</f>
        <v>29.880000000000003</v>
      </c>
      <c r="P26" s="6">
        <v>1419</v>
      </c>
      <c r="Q26" s="36">
        <v>228.4</v>
      </c>
      <c r="R26" s="37">
        <v>8.18</v>
      </c>
      <c r="S26" s="36">
        <v>966</v>
      </c>
      <c r="T26" s="6">
        <v>1254</v>
      </c>
      <c r="U26" s="37">
        <v>20.15</v>
      </c>
      <c r="V26" s="6">
        <v>958</v>
      </c>
      <c r="W26" s="37">
        <v>-36.43</v>
      </c>
      <c r="X26" s="6">
        <v>2213</v>
      </c>
      <c r="Y26" s="35">
        <v>2.463</v>
      </c>
      <c r="Z26" s="32"/>
    </row>
    <row r="27" spans="1:25" ht="12.75">
      <c r="A27" s="6">
        <v>2019</v>
      </c>
      <c r="B27" s="53">
        <v>43793</v>
      </c>
      <c r="C27" s="6">
        <v>26.99</v>
      </c>
      <c r="D27" s="6">
        <v>1414</v>
      </c>
      <c r="E27" s="37">
        <v>18.61</v>
      </c>
      <c r="F27" s="6">
        <v>2359</v>
      </c>
      <c r="G27" s="37">
        <v>22.01</v>
      </c>
      <c r="H27" s="37">
        <v>95.2</v>
      </c>
      <c r="I27" s="6">
        <v>12</v>
      </c>
      <c r="J27" s="37">
        <v>61.88</v>
      </c>
      <c r="K27" s="6">
        <v>1425</v>
      </c>
      <c r="L27" s="37">
        <v>80.7</v>
      </c>
      <c r="M27" s="38">
        <v>0</v>
      </c>
      <c r="N27" s="35">
        <v>2.765</v>
      </c>
      <c r="O27" s="35">
        <f>6.8*3.6</f>
        <v>24.48</v>
      </c>
      <c r="P27" s="6">
        <v>2048</v>
      </c>
      <c r="Q27" s="36">
        <v>88.8</v>
      </c>
      <c r="R27" s="37">
        <v>5.09</v>
      </c>
      <c r="S27" s="36">
        <v>1002</v>
      </c>
      <c r="T27" s="6">
        <v>1321</v>
      </c>
      <c r="U27" s="37">
        <v>19.96</v>
      </c>
      <c r="V27" s="6">
        <v>1336</v>
      </c>
      <c r="W27" s="37">
        <v>-30.33</v>
      </c>
      <c r="X27" s="6">
        <v>1858</v>
      </c>
      <c r="Y27" s="35">
        <v>1.39</v>
      </c>
    </row>
    <row r="28" spans="1:26" ht="12.75">
      <c r="A28" s="6">
        <v>2019</v>
      </c>
      <c r="B28" s="53">
        <v>43794</v>
      </c>
      <c r="C28" s="6">
        <v>32.14</v>
      </c>
      <c r="D28" s="6">
        <v>1717</v>
      </c>
      <c r="E28" s="37">
        <v>16.03</v>
      </c>
      <c r="F28" s="6">
        <v>455</v>
      </c>
      <c r="G28" s="37">
        <v>24.17</v>
      </c>
      <c r="H28" s="37">
        <v>86.6</v>
      </c>
      <c r="I28" s="6">
        <v>534</v>
      </c>
      <c r="J28" s="37">
        <v>39.66</v>
      </c>
      <c r="K28" s="6">
        <v>1639</v>
      </c>
      <c r="L28" s="37">
        <v>67.24</v>
      </c>
      <c r="M28" s="38">
        <v>0</v>
      </c>
      <c r="N28" s="6">
        <v>1.998</v>
      </c>
      <c r="O28" s="35">
        <f>5.9*3.6</f>
        <v>21.240000000000002</v>
      </c>
      <c r="P28" s="6">
        <v>102</v>
      </c>
      <c r="Q28" s="36">
        <v>115.7</v>
      </c>
      <c r="R28" s="37">
        <v>8.33</v>
      </c>
      <c r="S28" s="36">
        <v>1022</v>
      </c>
      <c r="T28" s="6">
        <v>1148</v>
      </c>
      <c r="U28" s="37">
        <v>31.81</v>
      </c>
      <c r="V28" s="6">
        <v>1114</v>
      </c>
      <c r="W28" s="37">
        <v>-30.87</v>
      </c>
      <c r="X28" s="6">
        <v>2007</v>
      </c>
      <c r="Y28" s="35">
        <v>2.182</v>
      </c>
      <c r="Z28" s="27"/>
    </row>
    <row r="29" spans="1:26" ht="12.75">
      <c r="A29" s="6">
        <v>2019</v>
      </c>
      <c r="B29" s="53">
        <v>43795</v>
      </c>
      <c r="C29" s="6">
        <v>33.14</v>
      </c>
      <c r="D29" s="6">
        <v>1505</v>
      </c>
      <c r="E29" s="6">
        <v>20.34</v>
      </c>
      <c r="F29" s="6">
        <v>441</v>
      </c>
      <c r="G29" s="37">
        <v>26.29</v>
      </c>
      <c r="H29" s="37">
        <v>88</v>
      </c>
      <c r="I29" s="6">
        <v>443</v>
      </c>
      <c r="J29" s="37">
        <v>40.85</v>
      </c>
      <c r="K29" s="6">
        <v>1502</v>
      </c>
      <c r="L29" s="37">
        <v>68.17</v>
      </c>
      <c r="M29" s="38">
        <v>0</v>
      </c>
      <c r="N29" s="39">
        <v>1.983</v>
      </c>
      <c r="O29" s="39">
        <f>7.4*3.6</f>
        <v>26.64</v>
      </c>
      <c r="P29" s="6">
        <v>1134</v>
      </c>
      <c r="Q29" s="44">
        <v>22.51</v>
      </c>
      <c r="R29" s="37">
        <v>7.62</v>
      </c>
      <c r="S29" s="36">
        <v>924</v>
      </c>
      <c r="T29" s="6">
        <v>1234</v>
      </c>
      <c r="U29" s="37">
        <v>21.38</v>
      </c>
      <c r="V29" s="6">
        <v>1103</v>
      </c>
      <c r="W29" s="37">
        <v>-32.6</v>
      </c>
      <c r="X29" s="6">
        <v>2241</v>
      </c>
      <c r="Y29" s="35">
        <v>2.544</v>
      </c>
      <c r="Z29" s="27"/>
    </row>
    <row r="30" spans="1:25" ht="12.75">
      <c r="A30" s="6">
        <v>2019</v>
      </c>
      <c r="B30" s="53">
        <v>43796</v>
      </c>
      <c r="C30" s="37">
        <v>32.03</v>
      </c>
      <c r="D30" s="6">
        <v>1313</v>
      </c>
      <c r="E30" s="37">
        <v>20.4</v>
      </c>
      <c r="F30" s="6">
        <v>2350</v>
      </c>
      <c r="G30" s="37">
        <v>25.03</v>
      </c>
      <c r="H30" s="37">
        <v>96.8</v>
      </c>
      <c r="I30" s="6">
        <v>2352</v>
      </c>
      <c r="J30" s="37">
        <v>45.76</v>
      </c>
      <c r="K30" s="6">
        <v>1315</v>
      </c>
      <c r="L30" s="37">
        <v>76.7</v>
      </c>
      <c r="M30" s="36">
        <v>14.8</v>
      </c>
      <c r="N30" s="35">
        <v>1.908</v>
      </c>
      <c r="O30" s="35">
        <f>8.45*3.6</f>
        <v>30.419999999999998</v>
      </c>
      <c r="P30" s="6">
        <v>954</v>
      </c>
      <c r="Q30" s="36">
        <v>295.9</v>
      </c>
      <c r="R30" s="37">
        <v>6.374</v>
      </c>
      <c r="S30" s="36">
        <v>930</v>
      </c>
      <c r="T30" s="6">
        <v>1050</v>
      </c>
      <c r="U30" s="37">
        <v>11.98</v>
      </c>
      <c r="V30" s="6">
        <v>938</v>
      </c>
      <c r="W30" s="37">
        <v>-42.68</v>
      </c>
      <c r="X30" s="6">
        <v>1616</v>
      </c>
      <c r="Y30" s="35">
        <v>2.104</v>
      </c>
    </row>
    <row r="31" spans="1:25" ht="12.75">
      <c r="A31" s="6">
        <v>2019</v>
      </c>
      <c r="B31" s="53">
        <v>43797</v>
      </c>
      <c r="C31" s="6">
        <v>29.71</v>
      </c>
      <c r="D31" s="6">
        <v>1618</v>
      </c>
      <c r="E31" s="6">
        <v>20.14</v>
      </c>
      <c r="F31" s="6">
        <v>2354</v>
      </c>
      <c r="G31" s="37">
        <v>23.9</v>
      </c>
      <c r="H31" s="37">
        <v>97.7</v>
      </c>
      <c r="I31" s="6">
        <v>511</v>
      </c>
      <c r="J31" s="6">
        <v>51.33</v>
      </c>
      <c r="K31" s="6">
        <v>1342</v>
      </c>
      <c r="L31" s="37">
        <v>80.1</v>
      </c>
      <c r="M31" s="36">
        <v>4</v>
      </c>
      <c r="N31" s="35">
        <v>2.274</v>
      </c>
      <c r="O31" s="39">
        <f>7.77*3.6</f>
        <v>27.971999999999998</v>
      </c>
      <c r="P31" s="6">
        <v>2050</v>
      </c>
      <c r="Q31" s="36">
        <v>116.6</v>
      </c>
      <c r="R31" s="37">
        <v>6.908</v>
      </c>
      <c r="S31" s="36">
        <v>1149</v>
      </c>
      <c r="T31" s="6">
        <v>1114</v>
      </c>
      <c r="U31" s="37">
        <v>27.77</v>
      </c>
      <c r="V31" s="6">
        <v>1134</v>
      </c>
      <c r="W31" s="37">
        <v>-32.36</v>
      </c>
      <c r="X31" s="6">
        <v>2018</v>
      </c>
      <c r="Y31" s="35">
        <v>1.921</v>
      </c>
    </row>
    <row r="32" spans="1:25" ht="12.75">
      <c r="A32" s="6">
        <v>2019</v>
      </c>
      <c r="B32" s="53">
        <v>43798</v>
      </c>
      <c r="C32" s="37">
        <v>30.36</v>
      </c>
      <c r="D32" s="6">
        <v>1412</v>
      </c>
      <c r="E32" s="37">
        <v>18.08</v>
      </c>
      <c r="F32" s="6">
        <v>530</v>
      </c>
      <c r="G32" s="37">
        <v>22.55</v>
      </c>
      <c r="H32" s="37">
        <v>96.6</v>
      </c>
      <c r="I32" s="6">
        <v>2241</v>
      </c>
      <c r="J32" s="37">
        <v>52.79</v>
      </c>
      <c r="K32" s="6">
        <v>1414</v>
      </c>
      <c r="L32" s="37">
        <v>80.1</v>
      </c>
      <c r="M32" s="6">
        <v>0.9</v>
      </c>
      <c r="N32" s="35">
        <v>2.081</v>
      </c>
      <c r="O32" s="35">
        <f>5.975*3.6</f>
        <v>21.509999999999998</v>
      </c>
      <c r="P32" s="6">
        <v>1750</v>
      </c>
      <c r="Q32" s="36">
        <v>8.85</v>
      </c>
      <c r="R32" s="37">
        <v>6.547</v>
      </c>
      <c r="S32" s="36">
        <v>1010</v>
      </c>
      <c r="T32" s="6">
        <v>1404</v>
      </c>
      <c r="U32" s="37">
        <v>34.54</v>
      </c>
      <c r="V32" s="6">
        <v>1340</v>
      </c>
      <c r="W32" s="37">
        <v>-20.55</v>
      </c>
      <c r="X32" s="6">
        <v>1732</v>
      </c>
      <c r="Y32" s="35">
        <v>1.623</v>
      </c>
    </row>
    <row r="33" spans="1:25" ht="12.75">
      <c r="A33" s="6">
        <v>2019</v>
      </c>
      <c r="B33" s="53">
        <v>43799</v>
      </c>
      <c r="C33" s="6">
        <v>27.59</v>
      </c>
      <c r="D33" s="6">
        <v>1120</v>
      </c>
      <c r="E33" s="6">
        <v>20.6</v>
      </c>
      <c r="F33" s="6">
        <v>504</v>
      </c>
      <c r="G33" s="6">
        <v>22.73</v>
      </c>
      <c r="H33" s="37">
        <v>97.6</v>
      </c>
      <c r="I33" s="6">
        <v>600</v>
      </c>
      <c r="J33" s="37">
        <v>68.91</v>
      </c>
      <c r="K33" s="6">
        <v>1121</v>
      </c>
      <c r="L33" s="37">
        <v>92.2</v>
      </c>
      <c r="M33" s="36">
        <v>22.5</v>
      </c>
      <c r="N33" s="35">
        <v>0.859</v>
      </c>
      <c r="O33" s="39">
        <f>4.4*3.6</f>
        <v>15.840000000000002</v>
      </c>
      <c r="P33" s="6">
        <v>1027</v>
      </c>
      <c r="Q33" s="36">
        <v>334.1</v>
      </c>
      <c r="R33" s="37">
        <v>4.932</v>
      </c>
      <c r="S33" s="36">
        <v>1051</v>
      </c>
      <c r="T33" s="6">
        <v>1050</v>
      </c>
      <c r="U33" s="37">
        <v>43.67</v>
      </c>
      <c r="V33" s="6">
        <v>1131</v>
      </c>
      <c r="W33" s="37">
        <v>-26.11</v>
      </c>
      <c r="X33" s="6">
        <v>1338</v>
      </c>
      <c r="Y33" s="35">
        <v>0.913</v>
      </c>
    </row>
    <row r="34" spans="2:25" ht="12.75">
      <c r="B34" s="33"/>
      <c r="C34" s="40">
        <f>AVERAGE(C4:C33)</f>
        <v>31.70866666666667</v>
      </c>
      <c r="D34" s="33"/>
      <c r="E34" s="40">
        <f>AVERAGE(E4:E33)</f>
        <v>19.53233333333334</v>
      </c>
      <c r="F34" s="33"/>
      <c r="G34" s="40">
        <f>AVERAGE(G4:G33)</f>
        <v>24.730333333333327</v>
      </c>
      <c r="H34" s="40">
        <f>AVERAGE(H4:H33)</f>
        <v>92.59666666666665</v>
      </c>
      <c r="I34" s="33"/>
      <c r="J34" s="40">
        <f>AVERAGE(J4:J33)</f>
        <v>42.00399999999999</v>
      </c>
      <c r="K34" s="33"/>
      <c r="L34" s="40">
        <f>AVERAGE(L4:L33)</f>
        <v>71.20433333333334</v>
      </c>
      <c r="M34" s="41">
        <f>SUM(M4:M33)</f>
        <v>187.5</v>
      </c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41">
        <f>SUM(Y4:Y33)</f>
        <v>63.544</v>
      </c>
    </row>
  </sheetData>
  <sheetProtection/>
  <mergeCells count="3">
    <mergeCell ref="A1:B1"/>
    <mergeCell ref="A2:A3"/>
    <mergeCell ref="B2:B3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67" r:id="rId1"/>
  <headerFooter alignWithMargins="0">
    <oddHeader>&amp;C&amp;"Arial,Negrito"DADOS METEOROLÓGICOS - ESTAÇÃO EXPERIMENTAL DE CITRICULTURA DE BEBEDOURO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A35"/>
  <sheetViews>
    <sheetView tabSelected="1" zoomScale="80" zoomScaleNormal="80" zoomScaleSheetLayoutView="75" workbookViewId="0" topLeftCell="B2">
      <selection activeCell="V35" sqref="V35"/>
    </sheetView>
  </sheetViews>
  <sheetFormatPr defaultColWidth="9.140625" defaultRowHeight="12.75"/>
  <cols>
    <col min="1" max="1" width="7.140625" style="0" customWidth="1"/>
    <col min="2" max="2" width="8.28125" style="0" customWidth="1"/>
    <col min="3" max="3" width="11.00390625" style="0" customWidth="1"/>
    <col min="5" max="5" width="10.421875" style="0" customWidth="1"/>
    <col min="6" max="6" width="8.28125" style="0" customWidth="1"/>
    <col min="7" max="7" width="9.7109375" style="0" customWidth="1"/>
    <col min="9" max="9" width="7.28125" style="0" customWidth="1"/>
    <col min="11" max="11" width="7.140625" style="0" customWidth="1"/>
    <col min="13" max="13" width="7.28125" style="0" customWidth="1"/>
    <col min="14" max="14" width="10.140625" style="0" bestFit="1" customWidth="1"/>
    <col min="16" max="16" width="7.7109375" style="0" customWidth="1"/>
    <col min="17" max="17" width="7.140625" style="0" customWidth="1"/>
    <col min="18" max="18" width="8.421875" style="0" customWidth="1"/>
    <col min="19" max="19" width="8.7109375" style="0" customWidth="1"/>
    <col min="20" max="20" width="8.00390625" style="0" customWidth="1"/>
    <col min="21" max="21" width="8.140625" style="0" customWidth="1"/>
    <col min="22" max="22" width="6.7109375" style="0" customWidth="1"/>
    <col min="23" max="23" width="8.140625" style="0" customWidth="1"/>
    <col min="24" max="24" width="6.7109375" style="0" customWidth="1"/>
    <col min="25" max="25" width="7.8515625" style="0" customWidth="1"/>
  </cols>
  <sheetData>
    <row r="1" spans="1:5" ht="12.75">
      <c r="A1" s="65">
        <v>39448</v>
      </c>
      <c r="B1" s="65"/>
      <c r="C1" s="8">
        <v>1</v>
      </c>
      <c r="E1">
        <v>3.6</v>
      </c>
    </row>
    <row r="2" spans="1:25" ht="45">
      <c r="A2" s="66" t="s">
        <v>12</v>
      </c>
      <c r="B2" s="66" t="s">
        <v>13</v>
      </c>
      <c r="C2" s="9" t="s">
        <v>14</v>
      </c>
      <c r="D2" s="9" t="s">
        <v>15</v>
      </c>
      <c r="E2" s="9" t="s">
        <v>16</v>
      </c>
      <c r="F2" s="9" t="s">
        <v>17</v>
      </c>
      <c r="G2" s="9" t="s">
        <v>18</v>
      </c>
      <c r="H2" s="9" t="s">
        <v>19</v>
      </c>
      <c r="I2" s="9" t="s">
        <v>15</v>
      </c>
      <c r="J2" s="9" t="s">
        <v>20</v>
      </c>
      <c r="K2" s="9" t="s">
        <v>17</v>
      </c>
      <c r="L2" s="9" t="s">
        <v>21</v>
      </c>
      <c r="M2" s="10" t="s">
        <v>22</v>
      </c>
      <c r="N2" s="9" t="s">
        <v>23</v>
      </c>
      <c r="O2" s="9" t="s">
        <v>24</v>
      </c>
      <c r="P2" s="9" t="s">
        <v>15</v>
      </c>
      <c r="Q2" s="9" t="s">
        <v>35</v>
      </c>
      <c r="R2" s="9" t="s">
        <v>44</v>
      </c>
      <c r="S2" s="9" t="s">
        <v>26</v>
      </c>
      <c r="T2" s="10" t="s">
        <v>15</v>
      </c>
      <c r="U2" s="9" t="s">
        <v>27</v>
      </c>
      <c r="V2" s="9" t="s">
        <v>15</v>
      </c>
      <c r="W2" s="9" t="s">
        <v>28</v>
      </c>
      <c r="X2" s="9" t="s">
        <v>17</v>
      </c>
      <c r="Y2" s="10" t="s">
        <v>29</v>
      </c>
    </row>
    <row r="3" spans="1:25" ht="12.75">
      <c r="A3" s="67"/>
      <c r="B3" s="67"/>
      <c r="C3" s="10" t="s">
        <v>30</v>
      </c>
      <c r="D3" s="10"/>
      <c r="E3" s="10" t="s">
        <v>30</v>
      </c>
      <c r="F3" s="10"/>
      <c r="G3" s="10" t="s">
        <v>30</v>
      </c>
      <c r="H3" s="10" t="s">
        <v>31</v>
      </c>
      <c r="I3" s="10"/>
      <c r="J3" s="10" t="s">
        <v>31</v>
      </c>
      <c r="K3" s="10"/>
      <c r="L3" s="10" t="s">
        <v>31</v>
      </c>
      <c r="M3" s="10" t="s">
        <v>32</v>
      </c>
      <c r="N3" s="10" t="s">
        <v>33</v>
      </c>
      <c r="O3" s="10" t="s">
        <v>42</v>
      </c>
      <c r="P3" s="10"/>
      <c r="Q3" s="10"/>
      <c r="R3" s="10" t="s">
        <v>43</v>
      </c>
      <c r="S3" s="10"/>
      <c r="T3" s="10"/>
      <c r="U3" s="10"/>
      <c r="V3" s="10"/>
      <c r="W3" s="10"/>
      <c r="X3" s="10"/>
      <c r="Y3" s="10" t="s">
        <v>32</v>
      </c>
    </row>
    <row r="4" spans="1:25" ht="12.75">
      <c r="A4" s="6">
        <v>2019</v>
      </c>
      <c r="B4" s="11">
        <v>43800</v>
      </c>
      <c r="C4" s="37">
        <v>29.24</v>
      </c>
      <c r="D4" s="6">
        <v>1615</v>
      </c>
      <c r="E4" s="6">
        <v>20.99</v>
      </c>
      <c r="F4" s="6">
        <v>534</v>
      </c>
      <c r="G4" s="37">
        <v>23.57</v>
      </c>
      <c r="H4" s="37">
        <v>97.6</v>
      </c>
      <c r="I4" s="6">
        <v>229</v>
      </c>
      <c r="J4" s="37">
        <v>58.63</v>
      </c>
      <c r="K4" s="6">
        <v>1616</v>
      </c>
      <c r="L4" s="37">
        <v>88</v>
      </c>
      <c r="M4" s="6">
        <v>4.9</v>
      </c>
      <c r="N4" s="35">
        <v>1.237</v>
      </c>
      <c r="O4" s="39">
        <f>6.05*3.6</f>
        <v>21.78</v>
      </c>
      <c r="P4" s="6">
        <v>1054</v>
      </c>
      <c r="Q4" s="36">
        <v>35.71</v>
      </c>
      <c r="R4" s="37">
        <v>5.554</v>
      </c>
      <c r="S4" s="36">
        <v>900</v>
      </c>
      <c r="T4" s="6">
        <v>1335</v>
      </c>
      <c r="U4" s="37">
        <v>35.38</v>
      </c>
      <c r="V4" s="6">
        <v>1347</v>
      </c>
      <c r="W4" s="6">
        <v>-20.68</v>
      </c>
      <c r="X4" s="6">
        <v>1839</v>
      </c>
      <c r="Y4" s="35">
        <v>1.197</v>
      </c>
    </row>
    <row r="5" spans="1:25" ht="12.75">
      <c r="A5" s="6">
        <v>2019</v>
      </c>
      <c r="B5" s="11">
        <v>43801</v>
      </c>
      <c r="C5" s="6">
        <v>30.69</v>
      </c>
      <c r="D5" s="6">
        <v>1539</v>
      </c>
      <c r="E5" s="37">
        <v>20.58</v>
      </c>
      <c r="F5" s="6">
        <v>713</v>
      </c>
      <c r="G5" s="6">
        <v>24.54</v>
      </c>
      <c r="H5" s="37">
        <v>97.7</v>
      </c>
      <c r="I5" s="6">
        <v>216</v>
      </c>
      <c r="J5" s="37">
        <v>50.2</v>
      </c>
      <c r="K5" s="6">
        <v>1532</v>
      </c>
      <c r="L5" s="37">
        <v>80.1</v>
      </c>
      <c r="M5" s="6">
        <v>0</v>
      </c>
      <c r="N5" s="35">
        <v>1.878</v>
      </c>
      <c r="O5" s="35">
        <f>5.525*3.6</f>
        <v>19.89</v>
      </c>
      <c r="P5" s="6">
        <v>1545</v>
      </c>
      <c r="Q5" s="36">
        <v>115.1</v>
      </c>
      <c r="R5" s="37">
        <v>7.97</v>
      </c>
      <c r="S5" s="36">
        <v>996</v>
      </c>
      <c r="T5" s="6">
        <v>1138</v>
      </c>
      <c r="U5" s="37">
        <v>51.23</v>
      </c>
      <c r="V5" s="6">
        <v>1251</v>
      </c>
      <c r="W5" s="37">
        <v>-28.59</v>
      </c>
      <c r="X5" s="6">
        <v>1953</v>
      </c>
      <c r="Y5" s="35">
        <v>1.996</v>
      </c>
    </row>
    <row r="6" spans="1:25" ht="12.75">
      <c r="A6" s="6">
        <v>2019</v>
      </c>
      <c r="B6" s="11">
        <v>43802</v>
      </c>
      <c r="C6" s="6">
        <v>30.76</v>
      </c>
      <c r="D6" s="6">
        <v>1517</v>
      </c>
      <c r="E6" s="6">
        <v>17.62</v>
      </c>
      <c r="F6" s="6">
        <v>544</v>
      </c>
      <c r="G6" s="37">
        <v>24.02</v>
      </c>
      <c r="H6" s="37">
        <v>89.3</v>
      </c>
      <c r="I6" s="6">
        <v>2358</v>
      </c>
      <c r="J6" s="6">
        <v>42.18</v>
      </c>
      <c r="K6" s="6">
        <v>1551</v>
      </c>
      <c r="L6" s="37">
        <v>70.3</v>
      </c>
      <c r="M6" s="6">
        <v>0</v>
      </c>
      <c r="N6" s="35">
        <v>2.005</v>
      </c>
      <c r="O6" s="39">
        <f>5.825*3.6</f>
        <v>20.970000000000002</v>
      </c>
      <c r="P6" s="6">
        <v>149</v>
      </c>
      <c r="Q6" s="6">
        <v>110.6</v>
      </c>
      <c r="R6" s="6">
        <v>7.55</v>
      </c>
      <c r="S6" s="36">
        <v>923</v>
      </c>
      <c r="T6" s="6">
        <v>1258</v>
      </c>
      <c r="U6" s="37">
        <v>38.64</v>
      </c>
      <c r="V6" s="6">
        <v>1111</v>
      </c>
      <c r="W6" s="37">
        <v>-30.3</v>
      </c>
      <c r="X6" s="6">
        <v>2119</v>
      </c>
      <c r="Y6" s="39">
        <v>2.075</v>
      </c>
    </row>
    <row r="7" spans="1:25" ht="12.75">
      <c r="A7" s="6">
        <v>2019</v>
      </c>
      <c r="B7" s="11">
        <v>43803</v>
      </c>
      <c r="C7" s="37">
        <v>31.02</v>
      </c>
      <c r="D7" s="6">
        <v>1428</v>
      </c>
      <c r="E7" s="37">
        <v>20.67</v>
      </c>
      <c r="F7" s="6">
        <v>256</v>
      </c>
      <c r="G7" s="37">
        <v>24.4</v>
      </c>
      <c r="H7" s="37">
        <v>96.8</v>
      </c>
      <c r="I7" s="6">
        <v>2244</v>
      </c>
      <c r="J7" s="6">
        <v>47.41</v>
      </c>
      <c r="K7" s="6">
        <v>1513</v>
      </c>
      <c r="L7" s="37">
        <v>80.2</v>
      </c>
      <c r="M7" s="6">
        <v>11.5</v>
      </c>
      <c r="N7" s="35">
        <v>1.312</v>
      </c>
      <c r="O7" s="39">
        <f>5.975*3.6</f>
        <v>21.509999999999998</v>
      </c>
      <c r="P7" s="6">
        <v>1737</v>
      </c>
      <c r="Q7" s="36">
        <v>74.2</v>
      </c>
      <c r="R7" s="37">
        <v>7.27</v>
      </c>
      <c r="S7" s="36">
        <v>956</v>
      </c>
      <c r="T7" s="6">
        <v>1152</v>
      </c>
      <c r="U7" s="37">
        <v>27.39</v>
      </c>
      <c r="V7" s="6">
        <v>1215</v>
      </c>
      <c r="W7" s="37">
        <v>-35.1</v>
      </c>
      <c r="X7" s="6">
        <v>2137</v>
      </c>
      <c r="Y7" s="35">
        <v>1.834</v>
      </c>
    </row>
    <row r="8" spans="1:25" ht="12.75">
      <c r="A8" s="6">
        <v>2019</v>
      </c>
      <c r="B8" s="11">
        <v>43804</v>
      </c>
      <c r="C8" s="37">
        <v>29.04</v>
      </c>
      <c r="D8" s="6">
        <v>1323</v>
      </c>
      <c r="E8" s="37">
        <v>20.53</v>
      </c>
      <c r="F8" s="6">
        <v>248</v>
      </c>
      <c r="G8" s="37">
        <v>23.09</v>
      </c>
      <c r="H8" s="37">
        <v>97.7</v>
      </c>
      <c r="I8" s="6">
        <v>133</v>
      </c>
      <c r="J8" s="37">
        <v>63.27</v>
      </c>
      <c r="K8" s="6">
        <v>1311</v>
      </c>
      <c r="L8" s="37">
        <v>88.5</v>
      </c>
      <c r="M8" s="36">
        <v>18.2</v>
      </c>
      <c r="N8" s="35">
        <v>1.342</v>
      </c>
      <c r="O8" s="39">
        <f>8.82*3.6</f>
        <v>31.752000000000002</v>
      </c>
      <c r="P8" s="6">
        <v>1514</v>
      </c>
      <c r="Q8" s="36">
        <v>193.2</v>
      </c>
      <c r="R8" s="37">
        <v>5.743</v>
      </c>
      <c r="S8" s="36">
        <v>646.8</v>
      </c>
      <c r="T8" s="6">
        <v>1316</v>
      </c>
      <c r="U8" s="37">
        <v>19.91</v>
      </c>
      <c r="V8" s="6">
        <v>1016</v>
      </c>
      <c r="W8" s="37">
        <v>-27.72</v>
      </c>
      <c r="X8" s="6">
        <v>1856</v>
      </c>
      <c r="Y8" s="39">
        <v>1.249</v>
      </c>
    </row>
    <row r="9" spans="1:25" ht="12.75">
      <c r="A9" s="6">
        <v>2019</v>
      </c>
      <c r="B9" s="11">
        <v>43805</v>
      </c>
      <c r="C9" s="37">
        <v>27.33</v>
      </c>
      <c r="D9" s="6">
        <v>1249</v>
      </c>
      <c r="E9" s="37">
        <v>20.34</v>
      </c>
      <c r="F9" s="6">
        <v>24</v>
      </c>
      <c r="G9" s="37">
        <v>22.94</v>
      </c>
      <c r="H9" s="37">
        <v>97.3</v>
      </c>
      <c r="I9" s="6">
        <v>518</v>
      </c>
      <c r="J9" s="37">
        <v>66.21</v>
      </c>
      <c r="K9" s="6">
        <v>1250</v>
      </c>
      <c r="L9" s="37">
        <v>88.2</v>
      </c>
      <c r="M9" s="6">
        <v>2.9</v>
      </c>
      <c r="N9" s="35">
        <v>1.68</v>
      </c>
      <c r="O9" s="39">
        <f>8*3.6</f>
        <v>28.8</v>
      </c>
      <c r="P9" s="6">
        <v>1559</v>
      </c>
      <c r="Q9" s="36">
        <v>206.3</v>
      </c>
      <c r="R9" s="37">
        <v>5.433</v>
      </c>
      <c r="S9" s="36">
        <v>1039</v>
      </c>
      <c r="T9" s="6">
        <v>1130</v>
      </c>
      <c r="U9" s="37">
        <v>19.36</v>
      </c>
      <c r="V9" s="6">
        <v>1300</v>
      </c>
      <c r="W9" s="37">
        <v>-18.67</v>
      </c>
      <c r="X9" s="6">
        <v>1635</v>
      </c>
      <c r="Y9" s="39">
        <v>1.229</v>
      </c>
    </row>
    <row r="10" spans="1:25" ht="12.75">
      <c r="A10" s="6">
        <v>2019</v>
      </c>
      <c r="B10" s="11">
        <v>43806</v>
      </c>
      <c r="C10" s="6">
        <v>30.44</v>
      </c>
      <c r="D10" s="6">
        <v>1343</v>
      </c>
      <c r="E10" s="6">
        <v>21.11</v>
      </c>
      <c r="F10" s="6">
        <v>400</v>
      </c>
      <c r="G10" s="37">
        <v>24.58</v>
      </c>
      <c r="H10" s="37">
        <v>96.4</v>
      </c>
      <c r="I10" s="6">
        <v>318</v>
      </c>
      <c r="J10" s="37">
        <v>52.79</v>
      </c>
      <c r="K10" s="6">
        <v>1514</v>
      </c>
      <c r="L10" s="37">
        <v>79.7</v>
      </c>
      <c r="M10" s="36">
        <v>12</v>
      </c>
      <c r="N10" s="35">
        <v>1.056</v>
      </c>
      <c r="O10" s="39">
        <f>7.02*3.6</f>
        <v>25.272</v>
      </c>
      <c r="P10" s="6">
        <v>1551</v>
      </c>
      <c r="Q10" s="36">
        <v>186.6</v>
      </c>
      <c r="R10" s="37">
        <v>8.92</v>
      </c>
      <c r="S10" s="36">
        <v>1006</v>
      </c>
      <c r="T10" s="6">
        <v>1132</v>
      </c>
      <c r="U10" s="37">
        <v>43.55</v>
      </c>
      <c r="V10" s="6">
        <v>1031</v>
      </c>
      <c r="W10" s="37">
        <v>-80.7</v>
      </c>
      <c r="X10" s="6">
        <v>1604</v>
      </c>
      <c r="Y10" s="35">
        <v>1.942</v>
      </c>
    </row>
    <row r="11" spans="1:25" ht="12.75">
      <c r="A11" s="6">
        <v>2019</v>
      </c>
      <c r="B11" s="11">
        <v>43807</v>
      </c>
      <c r="C11" s="6">
        <v>32.61</v>
      </c>
      <c r="D11" s="6">
        <v>1620</v>
      </c>
      <c r="E11" s="6">
        <v>18.88</v>
      </c>
      <c r="F11" s="6">
        <v>508</v>
      </c>
      <c r="G11" s="37">
        <v>25.35</v>
      </c>
      <c r="H11" s="37">
        <v>85.3</v>
      </c>
      <c r="I11" s="6">
        <v>0</v>
      </c>
      <c r="J11" s="37">
        <v>37.53</v>
      </c>
      <c r="K11" s="6">
        <v>1622</v>
      </c>
      <c r="L11" s="37">
        <v>67.88</v>
      </c>
      <c r="M11" s="6">
        <v>0</v>
      </c>
      <c r="N11" s="35">
        <v>2.075</v>
      </c>
      <c r="O11" s="39">
        <f>6.05*3.6</f>
        <v>21.78</v>
      </c>
      <c r="P11" s="6">
        <v>1916</v>
      </c>
      <c r="Q11" s="36">
        <v>26.94</v>
      </c>
      <c r="R11" s="6">
        <v>11.72</v>
      </c>
      <c r="S11" s="36">
        <v>1017</v>
      </c>
      <c r="T11" s="6">
        <v>1129</v>
      </c>
      <c r="U11" s="37">
        <v>40.14</v>
      </c>
      <c r="V11" s="6">
        <v>1334</v>
      </c>
      <c r="W11" s="37">
        <v>-35.58</v>
      </c>
      <c r="X11" s="6">
        <v>2328</v>
      </c>
      <c r="Y11" s="35">
        <v>2.85</v>
      </c>
    </row>
    <row r="12" spans="1:25" ht="12.75">
      <c r="A12" s="6">
        <v>2019</v>
      </c>
      <c r="B12" s="11">
        <v>43808</v>
      </c>
      <c r="C12" s="6">
        <v>29.91</v>
      </c>
      <c r="D12" s="6">
        <v>1231</v>
      </c>
      <c r="E12" s="37">
        <v>20.21</v>
      </c>
      <c r="F12" s="6">
        <v>514</v>
      </c>
      <c r="G12" s="37">
        <v>22.87</v>
      </c>
      <c r="H12" s="37">
        <v>96.6</v>
      </c>
      <c r="I12" s="6">
        <v>2258</v>
      </c>
      <c r="J12" s="37">
        <v>54.78</v>
      </c>
      <c r="K12" s="6">
        <v>1228</v>
      </c>
      <c r="L12" s="37">
        <v>85.6</v>
      </c>
      <c r="M12" s="6">
        <v>14.6</v>
      </c>
      <c r="N12" s="39">
        <v>1.355</v>
      </c>
      <c r="O12" s="39">
        <f>9.2*3.6</f>
        <v>33.12</v>
      </c>
      <c r="P12" s="6">
        <v>1252</v>
      </c>
      <c r="Q12" s="36">
        <v>324.2</v>
      </c>
      <c r="R12" s="37">
        <v>7.07</v>
      </c>
      <c r="S12" s="36">
        <v>1077</v>
      </c>
      <c r="T12" s="6">
        <v>1243</v>
      </c>
      <c r="U12" s="37">
        <v>17.09</v>
      </c>
      <c r="V12" s="6">
        <v>1237</v>
      </c>
      <c r="W12" s="37">
        <v>-68.01</v>
      </c>
      <c r="X12" s="6">
        <v>1318</v>
      </c>
      <c r="Y12" s="35">
        <v>1.577</v>
      </c>
    </row>
    <row r="13" spans="1:25" ht="12.75">
      <c r="A13" s="6">
        <v>2019</v>
      </c>
      <c r="B13" s="11">
        <v>43809</v>
      </c>
      <c r="C13" s="37">
        <v>28.25</v>
      </c>
      <c r="D13" s="6">
        <v>1641</v>
      </c>
      <c r="E13" s="37">
        <v>19.8</v>
      </c>
      <c r="F13" s="6">
        <v>2336</v>
      </c>
      <c r="G13" s="6">
        <v>23.24</v>
      </c>
      <c r="H13" s="37">
        <v>97.5</v>
      </c>
      <c r="I13" s="6">
        <v>2255</v>
      </c>
      <c r="J13" s="6">
        <v>61.15</v>
      </c>
      <c r="K13" s="6">
        <v>1540</v>
      </c>
      <c r="L13" s="37">
        <v>86.4</v>
      </c>
      <c r="M13" s="36">
        <v>40.6</v>
      </c>
      <c r="N13" s="35">
        <v>1.06</v>
      </c>
      <c r="O13" s="39">
        <f>6.2*3.6</f>
        <v>22.32</v>
      </c>
      <c r="P13" s="6">
        <v>2107</v>
      </c>
      <c r="Q13" s="36">
        <v>169</v>
      </c>
      <c r="R13" s="37">
        <v>6.353</v>
      </c>
      <c r="S13" s="36">
        <v>1232</v>
      </c>
      <c r="T13" s="6">
        <v>1302</v>
      </c>
      <c r="U13" s="37">
        <v>16.35</v>
      </c>
      <c r="V13" s="6">
        <v>1323</v>
      </c>
      <c r="W13" s="37">
        <v>-163.2</v>
      </c>
      <c r="X13" s="6">
        <v>2119</v>
      </c>
      <c r="Y13" s="35">
        <v>1.31</v>
      </c>
    </row>
    <row r="14" spans="1:26" ht="12.75">
      <c r="A14" s="6">
        <v>2019</v>
      </c>
      <c r="B14" s="11">
        <v>43810</v>
      </c>
      <c r="C14" s="6">
        <v>22.84</v>
      </c>
      <c r="D14" s="6">
        <v>1127</v>
      </c>
      <c r="E14" s="37">
        <v>18.15</v>
      </c>
      <c r="F14" s="6">
        <v>2144</v>
      </c>
      <c r="G14" s="37">
        <v>20.25</v>
      </c>
      <c r="H14" s="37">
        <v>97.9</v>
      </c>
      <c r="I14" s="6">
        <v>533</v>
      </c>
      <c r="J14" s="37">
        <v>87</v>
      </c>
      <c r="K14" s="6">
        <v>1520</v>
      </c>
      <c r="L14" s="37">
        <v>95</v>
      </c>
      <c r="M14" s="6">
        <v>29.3</v>
      </c>
      <c r="N14" s="35">
        <v>1.288</v>
      </c>
      <c r="O14" s="35">
        <f>5.45*3.6</f>
        <v>19.62</v>
      </c>
      <c r="P14" s="6">
        <v>1307</v>
      </c>
      <c r="Q14" s="36">
        <v>156.8</v>
      </c>
      <c r="R14" s="37">
        <v>2.661</v>
      </c>
      <c r="S14" s="36">
        <v>109.5</v>
      </c>
      <c r="T14" s="6">
        <v>1442</v>
      </c>
      <c r="U14" s="34">
        <v>6.452</v>
      </c>
      <c r="V14" s="6">
        <v>1136</v>
      </c>
      <c r="W14" s="37">
        <v>-34.38</v>
      </c>
      <c r="X14" s="6">
        <v>1321</v>
      </c>
      <c r="Y14" s="35">
        <v>0.405</v>
      </c>
      <c r="Z14" s="13"/>
    </row>
    <row r="15" spans="1:25" ht="12.75">
      <c r="A15" s="6">
        <v>2019</v>
      </c>
      <c r="B15" s="11">
        <v>43811</v>
      </c>
      <c r="C15" s="37">
        <v>27.2</v>
      </c>
      <c r="D15" s="6">
        <v>1506</v>
      </c>
      <c r="E15" s="6">
        <v>18.21</v>
      </c>
      <c r="F15" s="6">
        <v>143</v>
      </c>
      <c r="G15" s="37">
        <v>22.42</v>
      </c>
      <c r="H15" s="37">
        <v>97.9</v>
      </c>
      <c r="I15" s="6">
        <v>656</v>
      </c>
      <c r="J15" s="37">
        <v>65.93</v>
      </c>
      <c r="K15" s="6">
        <v>1509</v>
      </c>
      <c r="L15" s="37">
        <v>88.1</v>
      </c>
      <c r="M15" s="36">
        <v>0.4</v>
      </c>
      <c r="N15" s="35">
        <v>1.123</v>
      </c>
      <c r="O15" s="39">
        <f>6.95*3.6</f>
        <v>25.02</v>
      </c>
      <c r="P15" s="6">
        <v>1422</v>
      </c>
      <c r="Q15" s="36">
        <v>277.1</v>
      </c>
      <c r="R15" s="37">
        <v>7.52</v>
      </c>
      <c r="S15" s="36">
        <v>913</v>
      </c>
      <c r="T15" s="6">
        <v>1321</v>
      </c>
      <c r="U15" s="37">
        <v>24.77</v>
      </c>
      <c r="V15" s="6">
        <v>1516</v>
      </c>
      <c r="W15" s="37">
        <v>-25.9</v>
      </c>
      <c r="X15" s="6">
        <v>2238</v>
      </c>
      <c r="Y15" s="35">
        <v>1.583</v>
      </c>
    </row>
    <row r="16" spans="1:25" ht="12.75">
      <c r="A16" s="6">
        <v>2019</v>
      </c>
      <c r="B16" s="11">
        <v>43812</v>
      </c>
      <c r="C16" s="37">
        <v>28.06</v>
      </c>
      <c r="D16" s="6">
        <v>1248</v>
      </c>
      <c r="E16" s="37">
        <v>20.27</v>
      </c>
      <c r="F16" s="6">
        <v>2255</v>
      </c>
      <c r="G16" s="37">
        <v>22.85</v>
      </c>
      <c r="H16" s="37">
        <v>97.4</v>
      </c>
      <c r="I16" s="6">
        <v>455</v>
      </c>
      <c r="J16" s="37">
        <v>66.34</v>
      </c>
      <c r="K16" s="6">
        <v>1247</v>
      </c>
      <c r="L16" s="37">
        <v>88.6</v>
      </c>
      <c r="M16" s="6">
        <v>6.3</v>
      </c>
      <c r="N16" s="35">
        <v>1.045</v>
      </c>
      <c r="O16" s="39">
        <f>6.95*3.6</f>
        <v>25.02</v>
      </c>
      <c r="P16" s="6">
        <v>1636</v>
      </c>
      <c r="Q16" s="36">
        <v>38.25</v>
      </c>
      <c r="R16" s="37">
        <v>6.744</v>
      </c>
      <c r="S16" s="36">
        <v>962</v>
      </c>
      <c r="T16" s="6">
        <v>1244</v>
      </c>
      <c r="U16" s="37">
        <v>49.07</v>
      </c>
      <c r="V16" s="6">
        <v>1256</v>
      </c>
      <c r="W16" s="37">
        <v>-27.62</v>
      </c>
      <c r="X16" s="6">
        <v>2049</v>
      </c>
      <c r="Y16" s="35">
        <v>1.358</v>
      </c>
    </row>
    <row r="17" spans="1:25" ht="12.75">
      <c r="A17" s="6">
        <v>2019</v>
      </c>
      <c r="B17" s="11">
        <v>43813</v>
      </c>
      <c r="C17" s="6">
        <v>31.49</v>
      </c>
      <c r="D17" s="6">
        <v>1607</v>
      </c>
      <c r="E17" s="6">
        <v>20.34</v>
      </c>
      <c r="F17" s="6">
        <v>533</v>
      </c>
      <c r="G17" s="37">
        <v>24.26</v>
      </c>
      <c r="H17" s="37">
        <v>96.4</v>
      </c>
      <c r="I17" s="6">
        <v>526</v>
      </c>
      <c r="J17" s="37">
        <v>49.47</v>
      </c>
      <c r="K17" s="6">
        <v>1609</v>
      </c>
      <c r="L17" s="37">
        <v>79.7</v>
      </c>
      <c r="M17" s="6">
        <v>9.7</v>
      </c>
      <c r="N17" s="35">
        <v>1.956</v>
      </c>
      <c r="O17" s="35">
        <f>10.02*3.6</f>
        <v>36.072</v>
      </c>
      <c r="P17" s="6">
        <v>1646</v>
      </c>
      <c r="Q17" s="36">
        <v>110.5</v>
      </c>
      <c r="R17" s="6">
        <v>9.7</v>
      </c>
      <c r="S17" s="36">
        <v>950</v>
      </c>
      <c r="T17" s="6">
        <v>1111</v>
      </c>
      <c r="U17" s="37">
        <v>54.23</v>
      </c>
      <c r="V17" s="6">
        <v>1203</v>
      </c>
      <c r="W17" s="37">
        <v>-52.47</v>
      </c>
      <c r="X17" s="6">
        <v>2211</v>
      </c>
      <c r="Y17" s="35">
        <v>2.288</v>
      </c>
    </row>
    <row r="18" spans="1:25" ht="12.75">
      <c r="A18" s="6">
        <v>2019</v>
      </c>
      <c r="B18" s="11">
        <v>43814</v>
      </c>
      <c r="C18" s="37">
        <v>32.28</v>
      </c>
      <c r="D18" s="6">
        <v>1500</v>
      </c>
      <c r="E18" s="37">
        <v>19.87</v>
      </c>
      <c r="F18" s="6">
        <v>539</v>
      </c>
      <c r="G18" s="37">
        <v>25.16</v>
      </c>
      <c r="H18" s="37">
        <v>94.1</v>
      </c>
      <c r="I18" s="6">
        <v>138</v>
      </c>
      <c r="J18" s="37">
        <v>38.73</v>
      </c>
      <c r="K18" s="6">
        <v>1506</v>
      </c>
      <c r="L18" s="37">
        <v>71.4</v>
      </c>
      <c r="M18" s="38">
        <v>0</v>
      </c>
      <c r="N18" s="35">
        <v>1.402</v>
      </c>
      <c r="O18" s="35">
        <f>5.675*3.6</f>
        <v>20.43</v>
      </c>
      <c r="P18" s="6">
        <v>148</v>
      </c>
      <c r="Q18" s="36">
        <v>199.5</v>
      </c>
      <c r="R18" s="37">
        <v>11.03</v>
      </c>
      <c r="S18" s="36">
        <v>970</v>
      </c>
      <c r="T18" s="6">
        <v>1304</v>
      </c>
      <c r="U18" s="37">
        <v>38.36</v>
      </c>
      <c r="V18" s="6">
        <v>1345</v>
      </c>
      <c r="W18" s="37">
        <v>-34.67</v>
      </c>
      <c r="X18" s="6">
        <v>2356</v>
      </c>
      <c r="Y18" s="35">
        <v>2.6</v>
      </c>
    </row>
    <row r="19" spans="1:25" ht="12.75">
      <c r="A19" s="6">
        <v>2019</v>
      </c>
      <c r="B19" s="11">
        <v>43815</v>
      </c>
      <c r="C19" s="37">
        <v>33.28</v>
      </c>
      <c r="D19" s="6">
        <v>1613</v>
      </c>
      <c r="E19" s="37">
        <v>20.47</v>
      </c>
      <c r="F19" s="6">
        <v>305</v>
      </c>
      <c r="G19" s="37">
        <v>26.67</v>
      </c>
      <c r="H19" s="37">
        <v>93.2</v>
      </c>
      <c r="I19" s="6">
        <v>308</v>
      </c>
      <c r="J19" s="37">
        <v>31.5</v>
      </c>
      <c r="K19" s="6">
        <v>1632</v>
      </c>
      <c r="L19" s="37">
        <v>61.45</v>
      </c>
      <c r="M19" s="38">
        <v>0</v>
      </c>
      <c r="N19" s="35">
        <v>1.269</v>
      </c>
      <c r="O19" s="35">
        <f>8.22*3.6</f>
        <v>29.592000000000002</v>
      </c>
      <c r="P19" s="6">
        <v>941</v>
      </c>
      <c r="Q19" s="36">
        <v>5.652</v>
      </c>
      <c r="R19" s="6">
        <v>12.58</v>
      </c>
      <c r="S19" s="36">
        <v>899</v>
      </c>
      <c r="T19" s="6">
        <v>1336</v>
      </c>
      <c r="U19" s="37">
        <v>26.45</v>
      </c>
      <c r="V19" s="6">
        <v>1251</v>
      </c>
      <c r="W19" s="37">
        <v>-38.49</v>
      </c>
      <c r="X19" s="6">
        <v>422</v>
      </c>
      <c r="Y19" s="35">
        <v>3.31</v>
      </c>
    </row>
    <row r="20" spans="1:25" ht="12.75">
      <c r="A20" s="6">
        <v>2019</v>
      </c>
      <c r="B20" s="11">
        <v>43816</v>
      </c>
      <c r="C20" s="37">
        <v>32.35</v>
      </c>
      <c r="D20" s="6">
        <v>1528</v>
      </c>
      <c r="E20" s="37">
        <v>20.01</v>
      </c>
      <c r="F20" s="6">
        <v>2359</v>
      </c>
      <c r="G20" s="6">
        <v>25.36</v>
      </c>
      <c r="H20" s="37">
        <v>95.6</v>
      </c>
      <c r="I20" s="6">
        <v>2356</v>
      </c>
      <c r="J20" s="37">
        <v>32.43</v>
      </c>
      <c r="K20" s="6">
        <v>1514</v>
      </c>
      <c r="L20" s="37">
        <v>67.76</v>
      </c>
      <c r="M20" s="6">
        <v>7.7</v>
      </c>
      <c r="N20" s="35">
        <v>1.848</v>
      </c>
      <c r="O20" s="39">
        <f>7.4*3.6</f>
        <v>26.64</v>
      </c>
      <c r="P20" s="6">
        <v>2255</v>
      </c>
      <c r="Q20" s="36">
        <v>240.5</v>
      </c>
      <c r="R20" s="37">
        <v>9.17</v>
      </c>
      <c r="S20" s="36">
        <v>1146</v>
      </c>
      <c r="T20" s="6">
        <v>1205</v>
      </c>
      <c r="U20" s="37">
        <v>28.03</v>
      </c>
      <c r="V20" s="6">
        <v>1208</v>
      </c>
      <c r="W20" s="37">
        <v>-45.3</v>
      </c>
      <c r="X20" s="6">
        <v>2316</v>
      </c>
      <c r="Y20" s="35">
        <v>2.405</v>
      </c>
    </row>
    <row r="21" spans="1:25" ht="12.75">
      <c r="A21" s="6">
        <v>2019</v>
      </c>
      <c r="B21" s="11">
        <v>43817</v>
      </c>
      <c r="C21" s="37">
        <v>28.06</v>
      </c>
      <c r="D21" s="6">
        <v>1605</v>
      </c>
      <c r="E21" s="37">
        <v>18.28</v>
      </c>
      <c r="F21" s="6">
        <v>29</v>
      </c>
      <c r="G21" s="37">
        <v>22.51</v>
      </c>
      <c r="H21" s="37">
        <v>98.5</v>
      </c>
      <c r="I21" s="6">
        <v>218</v>
      </c>
      <c r="J21" s="37">
        <v>59.37</v>
      </c>
      <c r="K21" s="6">
        <v>1603</v>
      </c>
      <c r="L21" s="37">
        <v>83.5</v>
      </c>
      <c r="M21" s="6">
        <v>18.8</v>
      </c>
      <c r="N21" s="39">
        <v>1.453</v>
      </c>
      <c r="O21" s="39">
        <f>4.475*3.6</f>
        <v>16.11</v>
      </c>
      <c r="P21" s="6">
        <v>12</v>
      </c>
      <c r="Q21" s="36">
        <v>5.561</v>
      </c>
      <c r="R21" s="37">
        <v>4.921</v>
      </c>
      <c r="S21" s="36">
        <v>583.8</v>
      </c>
      <c r="T21" s="6">
        <v>1521</v>
      </c>
      <c r="U21" s="37">
        <v>3.588</v>
      </c>
      <c r="V21" s="6">
        <v>1614</v>
      </c>
      <c r="W21" s="37">
        <v>-100</v>
      </c>
      <c r="X21" s="6">
        <v>39</v>
      </c>
      <c r="Y21" s="35">
        <v>1.149</v>
      </c>
    </row>
    <row r="22" spans="1:27" ht="12.75">
      <c r="A22" s="6">
        <v>2019</v>
      </c>
      <c r="B22" s="11">
        <v>43818</v>
      </c>
      <c r="C22" s="37">
        <v>29.05</v>
      </c>
      <c r="D22" s="6">
        <v>1242</v>
      </c>
      <c r="E22" s="37">
        <v>20.4</v>
      </c>
      <c r="F22" s="6">
        <v>516</v>
      </c>
      <c r="G22" s="37">
        <v>22.74</v>
      </c>
      <c r="H22" s="37">
        <v>95.5</v>
      </c>
      <c r="I22" s="6">
        <v>500</v>
      </c>
      <c r="J22" s="37">
        <v>48.29</v>
      </c>
      <c r="K22" s="6">
        <v>1247</v>
      </c>
      <c r="L22" s="37">
        <v>83.8</v>
      </c>
      <c r="M22" s="36">
        <v>5.8</v>
      </c>
      <c r="N22" s="35">
        <v>1.812</v>
      </c>
      <c r="O22" s="35">
        <f>8.45*3.6</f>
        <v>30.419999999999998</v>
      </c>
      <c r="P22" s="6">
        <v>1456</v>
      </c>
      <c r="Q22" s="36">
        <v>28.83</v>
      </c>
      <c r="R22" s="37">
        <v>6.564</v>
      </c>
      <c r="S22" s="36">
        <v>1103</v>
      </c>
      <c r="T22" s="6">
        <v>1225</v>
      </c>
      <c r="U22" s="37">
        <v>22.46</v>
      </c>
      <c r="V22" s="6">
        <v>1315</v>
      </c>
      <c r="W22" s="6">
        <v>-33.38</v>
      </c>
      <c r="X22" s="6">
        <v>2216</v>
      </c>
      <c r="Y22" s="6">
        <v>1.512</v>
      </c>
      <c r="AA22" s="27"/>
    </row>
    <row r="23" spans="1:25" ht="12.75">
      <c r="A23" s="6">
        <v>2019</v>
      </c>
      <c r="B23" s="11">
        <v>43819</v>
      </c>
      <c r="C23" s="37">
        <v>30.37</v>
      </c>
      <c r="D23" s="6">
        <v>1302</v>
      </c>
      <c r="E23" s="37">
        <v>20.27</v>
      </c>
      <c r="F23" s="6">
        <v>244</v>
      </c>
      <c r="G23" s="37">
        <v>24.2</v>
      </c>
      <c r="H23" s="37">
        <v>95.3</v>
      </c>
      <c r="I23" s="6">
        <v>213</v>
      </c>
      <c r="J23" s="37">
        <v>51.07</v>
      </c>
      <c r="K23" s="6">
        <v>1258</v>
      </c>
      <c r="L23" s="37">
        <v>77.3</v>
      </c>
      <c r="M23" s="6">
        <v>3.9</v>
      </c>
      <c r="N23" s="39">
        <v>1.466</v>
      </c>
      <c r="O23" s="39">
        <f>6.125*3.6</f>
        <v>22.05</v>
      </c>
      <c r="P23" s="6">
        <v>1502</v>
      </c>
      <c r="Q23" s="36">
        <v>165.9</v>
      </c>
      <c r="R23" s="37">
        <v>8.85</v>
      </c>
      <c r="S23" s="36">
        <v>1120</v>
      </c>
      <c r="T23" s="6">
        <v>1259</v>
      </c>
      <c r="U23" s="37">
        <v>34.7</v>
      </c>
      <c r="V23" s="6">
        <v>1231</v>
      </c>
      <c r="W23" s="6">
        <v>-33.23</v>
      </c>
      <c r="X23" s="6">
        <v>2335</v>
      </c>
      <c r="Y23" s="39">
        <v>2.091</v>
      </c>
    </row>
    <row r="24" spans="1:25" ht="12.75">
      <c r="A24" s="6">
        <v>2019</v>
      </c>
      <c r="B24" s="11">
        <v>43820</v>
      </c>
      <c r="C24" s="6">
        <v>28.91</v>
      </c>
      <c r="D24" s="6">
        <v>1402</v>
      </c>
      <c r="E24" s="37">
        <v>19.08</v>
      </c>
      <c r="F24" s="6">
        <v>540</v>
      </c>
      <c r="G24" s="37">
        <v>22.73</v>
      </c>
      <c r="H24" s="37">
        <v>96.7</v>
      </c>
      <c r="I24" s="6">
        <v>327</v>
      </c>
      <c r="J24" s="37">
        <v>51</v>
      </c>
      <c r="K24" s="6">
        <v>1408</v>
      </c>
      <c r="L24" s="37">
        <v>83.7</v>
      </c>
      <c r="M24" s="6">
        <v>10.3</v>
      </c>
      <c r="N24" s="35">
        <v>1.793</v>
      </c>
      <c r="O24" s="35">
        <f>8.97*3.6</f>
        <v>32.292</v>
      </c>
      <c r="P24" s="6">
        <v>1925</v>
      </c>
      <c r="Q24" s="36">
        <v>196.5</v>
      </c>
      <c r="R24" s="37">
        <v>8.31</v>
      </c>
      <c r="S24" s="36">
        <v>1096</v>
      </c>
      <c r="T24" s="6">
        <v>1305</v>
      </c>
      <c r="U24" s="37">
        <v>22.77</v>
      </c>
      <c r="V24" s="6">
        <v>1358</v>
      </c>
      <c r="W24" s="37">
        <v>-41.38</v>
      </c>
      <c r="X24" s="6">
        <v>237</v>
      </c>
      <c r="Y24" s="35">
        <v>1.857</v>
      </c>
    </row>
    <row r="25" spans="1:25" ht="12.75">
      <c r="A25" s="6">
        <v>2019</v>
      </c>
      <c r="B25" s="11">
        <v>43821</v>
      </c>
      <c r="C25" s="37">
        <v>28.06</v>
      </c>
      <c r="D25" s="6">
        <v>1437</v>
      </c>
      <c r="E25" s="37">
        <v>19.21</v>
      </c>
      <c r="F25" s="6">
        <v>457</v>
      </c>
      <c r="G25" s="6">
        <v>22.65</v>
      </c>
      <c r="H25" s="37">
        <v>97.8</v>
      </c>
      <c r="I25" s="6">
        <v>633</v>
      </c>
      <c r="J25" s="37">
        <v>60.03</v>
      </c>
      <c r="K25" s="6">
        <v>1438</v>
      </c>
      <c r="L25" s="37">
        <v>88</v>
      </c>
      <c r="M25" s="36">
        <v>9.2</v>
      </c>
      <c r="N25" s="6">
        <v>0.854</v>
      </c>
      <c r="O25" s="39">
        <f>5.525*3.6</f>
        <v>19.89</v>
      </c>
      <c r="P25" s="6">
        <v>1521</v>
      </c>
      <c r="Q25" s="36">
        <v>200.4</v>
      </c>
      <c r="R25" s="37">
        <v>6.277</v>
      </c>
      <c r="S25" s="36">
        <v>1009</v>
      </c>
      <c r="T25" s="6">
        <v>1435</v>
      </c>
      <c r="U25" s="37">
        <v>8.05</v>
      </c>
      <c r="V25" s="6">
        <v>1311</v>
      </c>
      <c r="W25" s="37">
        <v>-39.91</v>
      </c>
      <c r="X25" s="6">
        <v>1642</v>
      </c>
      <c r="Y25" s="6">
        <v>1.327</v>
      </c>
    </row>
    <row r="26" spans="1:26" ht="12.75">
      <c r="A26" s="6">
        <v>2019</v>
      </c>
      <c r="B26" s="11">
        <v>43822</v>
      </c>
      <c r="C26" s="6">
        <v>24.76</v>
      </c>
      <c r="D26" s="6">
        <v>1144</v>
      </c>
      <c r="E26" s="37">
        <v>18.88</v>
      </c>
      <c r="F26" s="6">
        <v>326</v>
      </c>
      <c r="G26" s="37">
        <v>20.7</v>
      </c>
      <c r="H26" s="37">
        <v>98.3</v>
      </c>
      <c r="I26" s="6">
        <v>548</v>
      </c>
      <c r="J26" s="37">
        <v>74.4</v>
      </c>
      <c r="K26" s="6">
        <v>1145</v>
      </c>
      <c r="L26" s="37">
        <v>93.6</v>
      </c>
      <c r="M26" s="36">
        <v>47.8</v>
      </c>
      <c r="N26" s="6">
        <v>1.05</v>
      </c>
      <c r="O26" s="39">
        <f>4.85*3.6</f>
        <v>17.46</v>
      </c>
      <c r="P26" s="6">
        <v>1427</v>
      </c>
      <c r="Q26" s="36">
        <v>168.6</v>
      </c>
      <c r="R26" s="37">
        <v>4.22</v>
      </c>
      <c r="S26" s="36">
        <v>717</v>
      </c>
      <c r="T26" s="6">
        <v>959</v>
      </c>
      <c r="U26" s="37">
        <v>0.86</v>
      </c>
      <c r="V26" s="6">
        <v>1205</v>
      </c>
      <c r="W26" s="37">
        <v>-73.8</v>
      </c>
      <c r="X26" s="6">
        <v>1514</v>
      </c>
      <c r="Y26" s="39">
        <v>0.77</v>
      </c>
      <c r="Z26" s="13"/>
    </row>
    <row r="27" spans="1:25" ht="12.75">
      <c r="A27" s="6">
        <v>2019</v>
      </c>
      <c r="B27" s="11">
        <v>43823</v>
      </c>
      <c r="C27" s="6">
        <v>30.57</v>
      </c>
      <c r="D27" s="6">
        <v>1633</v>
      </c>
      <c r="E27" s="37">
        <v>18.61</v>
      </c>
      <c r="F27" s="6">
        <v>456</v>
      </c>
      <c r="G27" s="37">
        <v>24.08</v>
      </c>
      <c r="H27" s="37">
        <v>98.3</v>
      </c>
      <c r="I27" s="6">
        <v>358</v>
      </c>
      <c r="J27" s="37">
        <v>50.34</v>
      </c>
      <c r="K27" s="6">
        <v>1446</v>
      </c>
      <c r="L27" s="37">
        <v>78.2</v>
      </c>
      <c r="M27" s="36">
        <v>0.3</v>
      </c>
      <c r="N27" s="39">
        <v>1.283</v>
      </c>
      <c r="O27" s="39">
        <f>4.775*3.6</f>
        <v>17.19</v>
      </c>
      <c r="P27" s="6">
        <v>915</v>
      </c>
      <c r="Q27" s="36">
        <v>68.12</v>
      </c>
      <c r="R27" s="37">
        <v>10.18</v>
      </c>
      <c r="S27" s="36">
        <v>1025</v>
      </c>
      <c r="T27" s="6">
        <v>1336</v>
      </c>
      <c r="U27" s="37">
        <v>32.57</v>
      </c>
      <c r="V27" s="6">
        <v>1106</v>
      </c>
      <c r="W27" s="37">
        <v>-31.82</v>
      </c>
      <c r="X27" s="6">
        <v>2359</v>
      </c>
      <c r="Y27" s="39">
        <v>2.221</v>
      </c>
    </row>
    <row r="28" spans="1:26" ht="12.75">
      <c r="A28" s="6">
        <v>2019</v>
      </c>
      <c r="B28" s="11">
        <v>43824</v>
      </c>
      <c r="C28" s="6">
        <v>31.56</v>
      </c>
      <c r="D28" s="6">
        <v>1506</v>
      </c>
      <c r="E28" s="37">
        <v>18.68</v>
      </c>
      <c r="F28" s="6">
        <v>443</v>
      </c>
      <c r="G28" s="37">
        <v>24.83</v>
      </c>
      <c r="H28" s="37">
        <v>92.5</v>
      </c>
      <c r="I28" s="6">
        <v>444</v>
      </c>
      <c r="J28" s="37">
        <v>44.1</v>
      </c>
      <c r="K28" s="6">
        <v>1506</v>
      </c>
      <c r="L28" s="37">
        <v>72.4</v>
      </c>
      <c r="M28" s="6">
        <v>0</v>
      </c>
      <c r="N28" s="39">
        <v>1.214</v>
      </c>
      <c r="O28" s="39">
        <f>5.225*3.6</f>
        <v>18.81</v>
      </c>
      <c r="P28" s="6">
        <v>951</v>
      </c>
      <c r="Q28" s="36">
        <v>0.188</v>
      </c>
      <c r="R28" s="37">
        <v>10.63</v>
      </c>
      <c r="S28" s="36">
        <v>957</v>
      </c>
      <c r="T28" s="6">
        <v>1230</v>
      </c>
      <c r="U28" s="37">
        <v>35.74</v>
      </c>
      <c r="V28" s="6">
        <v>1238</v>
      </c>
      <c r="W28" s="37">
        <v>-34.34</v>
      </c>
      <c r="X28" s="6">
        <v>2359</v>
      </c>
      <c r="Y28" s="6">
        <v>2.388</v>
      </c>
      <c r="Z28" s="27"/>
    </row>
    <row r="29" spans="1:26" ht="12.75">
      <c r="A29" s="6">
        <v>2019</v>
      </c>
      <c r="B29" s="11">
        <v>43825</v>
      </c>
      <c r="C29" s="37">
        <v>33.48</v>
      </c>
      <c r="D29" s="6">
        <v>1514</v>
      </c>
      <c r="E29" s="37">
        <v>19.14</v>
      </c>
      <c r="F29" s="6">
        <v>507</v>
      </c>
      <c r="G29" s="37">
        <v>25.98</v>
      </c>
      <c r="H29" s="37">
        <v>94.9</v>
      </c>
      <c r="I29" s="6">
        <v>235</v>
      </c>
      <c r="J29" s="37">
        <v>36.67</v>
      </c>
      <c r="K29" s="6">
        <v>1517</v>
      </c>
      <c r="L29" s="37">
        <v>68.89</v>
      </c>
      <c r="M29" s="6">
        <v>0</v>
      </c>
      <c r="N29" s="39">
        <v>1.107</v>
      </c>
      <c r="O29" s="39">
        <f>5.75*3.6</f>
        <v>20.7</v>
      </c>
      <c r="P29" s="6">
        <v>1217</v>
      </c>
      <c r="Q29" s="43">
        <v>17.99</v>
      </c>
      <c r="R29" s="37">
        <v>10.92</v>
      </c>
      <c r="S29" s="36">
        <v>906</v>
      </c>
      <c r="T29" s="6">
        <v>1256</v>
      </c>
      <c r="U29" s="37">
        <v>32.48</v>
      </c>
      <c r="V29" s="6">
        <v>1358</v>
      </c>
      <c r="W29" s="37">
        <v>-37.45</v>
      </c>
      <c r="X29" s="6">
        <v>513</v>
      </c>
      <c r="Y29" s="35">
        <v>2.757</v>
      </c>
      <c r="Z29" s="27"/>
    </row>
    <row r="30" spans="1:25" ht="12.75">
      <c r="A30" s="6">
        <v>2019</v>
      </c>
      <c r="B30" s="11">
        <v>43826</v>
      </c>
      <c r="C30" s="6">
        <v>33.47</v>
      </c>
      <c r="D30" s="6">
        <v>1515</v>
      </c>
      <c r="E30" s="37">
        <v>19.81</v>
      </c>
      <c r="F30" s="6">
        <v>542</v>
      </c>
      <c r="G30" s="6">
        <v>26.67</v>
      </c>
      <c r="H30" s="37">
        <v>94.6</v>
      </c>
      <c r="I30" s="6">
        <v>540</v>
      </c>
      <c r="J30" s="37">
        <v>36.67</v>
      </c>
      <c r="K30" s="6">
        <v>1619</v>
      </c>
      <c r="L30" s="37">
        <v>66.33</v>
      </c>
      <c r="M30" s="36">
        <v>1.5</v>
      </c>
      <c r="N30" s="6">
        <v>1.12</v>
      </c>
      <c r="O30" s="39">
        <f>5.6*3.6</f>
        <v>20.16</v>
      </c>
      <c r="P30" s="6">
        <v>1156</v>
      </c>
      <c r="Q30" s="36">
        <v>20.63</v>
      </c>
      <c r="R30" s="37">
        <v>10.96</v>
      </c>
      <c r="S30" s="36">
        <v>860</v>
      </c>
      <c r="T30" s="6">
        <v>1323</v>
      </c>
      <c r="U30" s="37">
        <v>27.96</v>
      </c>
      <c r="V30" s="6">
        <v>1248</v>
      </c>
      <c r="W30" s="37">
        <v>-37.05</v>
      </c>
      <c r="X30" s="6">
        <v>503</v>
      </c>
      <c r="Y30" s="35">
        <v>2.802</v>
      </c>
    </row>
    <row r="31" spans="1:25" ht="12.75">
      <c r="A31" s="6">
        <v>2019</v>
      </c>
      <c r="B31" s="11">
        <v>43827</v>
      </c>
      <c r="C31" s="6">
        <v>33.22</v>
      </c>
      <c r="D31" s="6">
        <v>1447</v>
      </c>
      <c r="E31" s="37">
        <v>20.94</v>
      </c>
      <c r="F31" s="6">
        <v>424</v>
      </c>
      <c r="G31" s="37">
        <v>26.86</v>
      </c>
      <c r="H31" s="37">
        <v>95.5</v>
      </c>
      <c r="I31" s="6">
        <v>552</v>
      </c>
      <c r="J31" s="37">
        <v>35.48</v>
      </c>
      <c r="K31" s="6">
        <v>1626</v>
      </c>
      <c r="L31" s="37">
        <v>66.55</v>
      </c>
      <c r="M31" s="36">
        <v>2.3</v>
      </c>
      <c r="N31" s="39">
        <v>1.094</v>
      </c>
      <c r="O31" s="35">
        <f>5.75*3.6</f>
        <v>20.7</v>
      </c>
      <c r="P31" s="6">
        <v>1007</v>
      </c>
      <c r="Q31" s="36">
        <v>53.5</v>
      </c>
      <c r="R31" s="37">
        <v>10.54</v>
      </c>
      <c r="S31" s="36">
        <v>899</v>
      </c>
      <c r="T31" s="6">
        <v>1318</v>
      </c>
      <c r="U31" s="37">
        <v>29.31</v>
      </c>
      <c r="V31" s="6">
        <v>1321</v>
      </c>
      <c r="W31" s="37">
        <v>-37.24</v>
      </c>
      <c r="X31" s="6">
        <v>503</v>
      </c>
      <c r="Y31" s="35">
        <v>2.619</v>
      </c>
    </row>
    <row r="32" spans="1:25" ht="12.75">
      <c r="A32" s="6">
        <v>2019</v>
      </c>
      <c r="B32" s="11">
        <v>43828</v>
      </c>
      <c r="C32" s="6">
        <v>32.75</v>
      </c>
      <c r="D32" s="6">
        <v>1436</v>
      </c>
      <c r="E32" s="37">
        <v>20.34</v>
      </c>
      <c r="F32" s="6">
        <v>420</v>
      </c>
      <c r="G32" s="37">
        <v>26.22</v>
      </c>
      <c r="H32" s="37">
        <v>95.5</v>
      </c>
      <c r="I32" s="6">
        <v>341</v>
      </c>
      <c r="J32" s="37">
        <v>39.39</v>
      </c>
      <c r="K32" s="6">
        <v>1705</v>
      </c>
      <c r="L32" s="37">
        <v>69.91</v>
      </c>
      <c r="M32" s="36">
        <v>3.8</v>
      </c>
      <c r="N32" s="35">
        <v>1.087</v>
      </c>
      <c r="O32" s="39">
        <f>4.325*3.6</f>
        <v>15.57</v>
      </c>
      <c r="P32" s="6">
        <v>1255</v>
      </c>
      <c r="Q32" s="36">
        <v>332.7</v>
      </c>
      <c r="R32" s="37">
        <v>11.08</v>
      </c>
      <c r="S32" s="36">
        <v>925</v>
      </c>
      <c r="T32" s="6">
        <v>1402</v>
      </c>
      <c r="U32" s="37">
        <v>26.98</v>
      </c>
      <c r="V32" s="6">
        <v>1406</v>
      </c>
      <c r="W32" s="37">
        <v>-39.24</v>
      </c>
      <c r="X32" s="6">
        <v>410</v>
      </c>
      <c r="Y32" s="35">
        <v>2.631</v>
      </c>
    </row>
    <row r="33" spans="1:25" ht="12.75">
      <c r="A33" s="6">
        <v>2019</v>
      </c>
      <c r="B33" s="11">
        <v>43829</v>
      </c>
      <c r="C33" s="37">
        <v>32.62</v>
      </c>
      <c r="D33" s="6">
        <v>1628</v>
      </c>
      <c r="E33" s="37">
        <v>20.94</v>
      </c>
      <c r="F33" s="6">
        <v>557</v>
      </c>
      <c r="G33" s="37">
        <v>26.6</v>
      </c>
      <c r="H33" s="37">
        <v>93.7</v>
      </c>
      <c r="I33" s="6">
        <v>603</v>
      </c>
      <c r="J33" s="37">
        <v>39.39</v>
      </c>
      <c r="K33" s="6">
        <v>1634</v>
      </c>
      <c r="L33" s="37">
        <v>67.67</v>
      </c>
      <c r="M33" s="6">
        <v>0</v>
      </c>
      <c r="N33" s="39">
        <v>1.397</v>
      </c>
      <c r="O33" s="39">
        <f>6.725*3.6</f>
        <v>24.21</v>
      </c>
      <c r="P33" s="6">
        <v>1045</v>
      </c>
      <c r="Q33" s="43">
        <v>14.6</v>
      </c>
      <c r="R33" s="37">
        <v>9.04</v>
      </c>
      <c r="S33" s="36">
        <v>1000</v>
      </c>
      <c r="T33" s="6">
        <v>1309</v>
      </c>
      <c r="U33" s="37">
        <v>15.12</v>
      </c>
      <c r="V33" s="6">
        <v>1234</v>
      </c>
      <c r="W33" s="37">
        <v>-38.07</v>
      </c>
      <c r="X33" s="6">
        <v>553</v>
      </c>
      <c r="Y33" s="35">
        <v>2.396</v>
      </c>
    </row>
    <row r="34" spans="1:25" ht="12.75">
      <c r="A34" s="6">
        <v>2019</v>
      </c>
      <c r="B34" s="11">
        <v>43830</v>
      </c>
      <c r="C34" s="37">
        <v>32.95</v>
      </c>
      <c r="D34" s="6">
        <v>1543</v>
      </c>
      <c r="E34" s="37">
        <v>20.14</v>
      </c>
      <c r="F34" s="6">
        <v>528</v>
      </c>
      <c r="G34" s="37">
        <v>25.97</v>
      </c>
      <c r="H34" s="37">
        <v>95.2</v>
      </c>
      <c r="I34" s="6">
        <v>537</v>
      </c>
      <c r="J34" s="37">
        <v>37.67</v>
      </c>
      <c r="K34" s="6">
        <v>1526</v>
      </c>
      <c r="L34" s="37">
        <v>69.5</v>
      </c>
      <c r="M34" s="6">
        <v>13.6</v>
      </c>
      <c r="N34" s="52">
        <v>1.233</v>
      </c>
      <c r="O34" s="35">
        <f>8.6*3.6</f>
        <v>30.96</v>
      </c>
      <c r="P34" s="52">
        <v>1852</v>
      </c>
      <c r="Q34" s="36">
        <v>102.6</v>
      </c>
      <c r="R34" s="37">
        <v>9.87</v>
      </c>
      <c r="S34" s="36">
        <v>886</v>
      </c>
      <c r="T34" s="6">
        <v>1212</v>
      </c>
      <c r="U34" s="37">
        <v>18.31</v>
      </c>
      <c r="V34" s="6">
        <v>1222</v>
      </c>
      <c r="W34" s="37">
        <v>-60.01</v>
      </c>
      <c r="X34" s="6">
        <v>1939</v>
      </c>
      <c r="Y34" s="35">
        <v>2.646</v>
      </c>
    </row>
    <row r="35" spans="3:25" ht="12.75">
      <c r="C35" s="40">
        <f>AVERAGE(C4:C34)</f>
        <v>30.213548387096772</v>
      </c>
      <c r="D35" s="33"/>
      <c r="E35" s="40">
        <f>AVERAGE(E4:E34)</f>
        <v>19.766774193548386</v>
      </c>
      <c r="F35" s="33"/>
      <c r="G35" s="40">
        <f>AVERAGE(G4:G34)</f>
        <v>24.139032258064525</v>
      </c>
      <c r="H35" s="40">
        <f>AVERAGE(H4:H34)</f>
        <v>95.70967741935483</v>
      </c>
      <c r="I35" s="33"/>
      <c r="J35" s="40">
        <f>AVERAGE(J4:J34)</f>
        <v>50.62645161290324</v>
      </c>
      <c r="K35" s="33"/>
      <c r="L35" s="40">
        <f>AVERAGE(L4:L34)</f>
        <v>78.5883870967742</v>
      </c>
      <c r="M35" s="41">
        <f>SUM(M4:M34)</f>
        <v>275.4000000000001</v>
      </c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41">
        <f>SUM(Y4:Y34)</f>
        <v>60.374</v>
      </c>
    </row>
  </sheetData>
  <sheetProtection/>
  <mergeCells count="3">
    <mergeCell ref="A1:B1"/>
    <mergeCell ref="A2:A3"/>
    <mergeCell ref="B2:B3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67" r:id="rId1"/>
  <headerFooter alignWithMargins="0">
    <oddHeader>&amp;C&amp;"Arial,Negrito"DADOS METEOROLÓGICOS - ESTAÇÃO EXPERIMENTAL DE CITRICULTURA DE BEBEDOURO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H36" sqref="H36"/>
    </sheetView>
  </sheetViews>
  <sheetFormatPr defaultColWidth="9.140625" defaultRowHeight="12.75"/>
  <cols>
    <col min="1" max="1" width="12.57421875" style="0" customWidth="1"/>
    <col min="2" max="2" width="11.57421875" style="0" customWidth="1"/>
    <col min="3" max="3" width="11.7109375" style="0" customWidth="1"/>
    <col min="4" max="4" width="12.28125" style="0" customWidth="1"/>
  </cols>
  <sheetData>
    <row r="1" spans="1:7" ht="25.5" customHeight="1">
      <c r="A1" s="18" t="s">
        <v>40</v>
      </c>
      <c r="B1" s="16" t="s">
        <v>45</v>
      </c>
      <c r="C1" s="16" t="s">
        <v>46</v>
      </c>
      <c r="D1" s="16" t="s">
        <v>36</v>
      </c>
      <c r="E1" s="16" t="s">
        <v>37</v>
      </c>
      <c r="F1" s="15"/>
      <c r="G1" s="28" t="s">
        <v>41</v>
      </c>
    </row>
    <row r="2" spans="1:7" ht="12.75">
      <c r="A2" s="12" t="s">
        <v>0</v>
      </c>
      <c r="B2" s="34">
        <f>JAN!E35</f>
        <v>20.120645161290327</v>
      </c>
      <c r="C2" s="34">
        <f>JAN!C35</f>
        <v>31.988064516129036</v>
      </c>
      <c r="D2" s="43">
        <f>JAN!M35</f>
        <v>100.49999999999999</v>
      </c>
      <c r="E2" s="34">
        <f>JAN!Y35</f>
        <v>76.563</v>
      </c>
      <c r="F2" s="29"/>
      <c r="G2" s="30">
        <f>AVERAGE(B2:C2)</f>
        <v>26.05435483870968</v>
      </c>
    </row>
    <row r="3" spans="1:7" ht="12.75">
      <c r="A3" s="12" t="s">
        <v>1</v>
      </c>
      <c r="B3" s="34">
        <f>FEV!E32</f>
        <v>19.6025</v>
      </c>
      <c r="C3" s="34">
        <f>FEV!C32</f>
        <v>30.461178571428565</v>
      </c>
      <c r="D3" s="43">
        <f>FEV!M32</f>
        <v>285.99999999999994</v>
      </c>
      <c r="E3" s="34">
        <f>FEV!Y32</f>
        <v>57.377</v>
      </c>
      <c r="F3" s="29"/>
      <c r="G3" s="30">
        <f aca="true" t="shared" si="0" ref="G3:G12">AVERAGE(B3:C3)</f>
        <v>25.031839285714284</v>
      </c>
    </row>
    <row r="4" spans="1:7" ht="12.75">
      <c r="A4" s="12" t="s">
        <v>2</v>
      </c>
      <c r="B4" s="34">
        <f>MAR!E34</f>
        <v>19.54548387096774</v>
      </c>
      <c r="C4" s="34">
        <f>MAR!C34</f>
        <v>30.148387096774197</v>
      </c>
      <c r="D4" s="43">
        <f>MAR!M34</f>
        <v>182.6</v>
      </c>
      <c r="E4" s="34">
        <f>MAR!Y34</f>
        <v>62.841</v>
      </c>
      <c r="F4" s="29"/>
      <c r="G4" s="30">
        <f t="shared" si="0"/>
        <v>24.84693548387097</v>
      </c>
    </row>
    <row r="5" spans="1:7" ht="12.75">
      <c r="A5" s="12" t="s">
        <v>3</v>
      </c>
      <c r="B5" s="34">
        <f>ABR!E33</f>
        <v>17.247</v>
      </c>
      <c r="C5" s="34">
        <f>ABR!C33</f>
        <v>30.06933333333334</v>
      </c>
      <c r="D5" s="43">
        <f>ABR!M33</f>
        <v>116</v>
      </c>
      <c r="E5" s="34">
        <f>ABR!Y33</f>
        <v>46.60699999999999</v>
      </c>
      <c r="F5" s="29"/>
      <c r="G5" s="30">
        <f>AVERAGE(B5:C5)</f>
        <v>23.65816666666667</v>
      </c>
    </row>
    <row r="6" spans="1:7" ht="12.75">
      <c r="A6" s="12" t="s">
        <v>4</v>
      </c>
      <c r="B6" s="34">
        <f>MAI!E35</f>
        <v>14.008064516129028</v>
      </c>
      <c r="C6" s="34">
        <f>MAI!C35</f>
        <v>29.030645161290334</v>
      </c>
      <c r="D6" s="43">
        <f>MAI!M35</f>
        <v>14.2</v>
      </c>
      <c r="E6" s="34">
        <f>MAI!Y35</f>
        <v>44.223</v>
      </c>
      <c r="F6" s="29"/>
      <c r="G6" s="30">
        <f t="shared" si="0"/>
        <v>21.51935483870968</v>
      </c>
    </row>
    <row r="7" spans="1:7" ht="12.75">
      <c r="A7" s="12" t="s">
        <v>5</v>
      </c>
      <c r="B7" s="34">
        <f>JUN!E34</f>
        <v>13.023999999999997</v>
      </c>
      <c r="C7" s="34">
        <f>JUN!C34</f>
        <v>27.767</v>
      </c>
      <c r="D7" s="43">
        <f>JUN!M34</f>
        <v>12.8</v>
      </c>
      <c r="E7" s="34">
        <f>JUN!Y34</f>
        <v>46.81000000000001</v>
      </c>
      <c r="F7" s="29"/>
      <c r="G7" s="30">
        <f t="shared" si="0"/>
        <v>20.3955</v>
      </c>
    </row>
    <row r="8" spans="1:7" ht="12.75">
      <c r="A8" s="12" t="s">
        <v>6</v>
      </c>
      <c r="B8" s="34">
        <f>JUL!E35</f>
        <v>11.736419354838706</v>
      </c>
      <c r="C8" s="34">
        <f>JUL!C35</f>
        <v>27.34290322580645</v>
      </c>
      <c r="D8" s="43">
        <f>JUL!M35</f>
        <v>13.4</v>
      </c>
      <c r="E8" s="34">
        <f>JUL!Y35</f>
        <v>55.511999999999986</v>
      </c>
      <c r="F8" s="29"/>
      <c r="G8" s="30">
        <f t="shared" si="0"/>
        <v>19.539661290322577</v>
      </c>
    </row>
    <row r="9" spans="1:7" ht="12.75">
      <c r="A9" s="12" t="s">
        <v>7</v>
      </c>
      <c r="B9" s="34">
        <f>AGO!E35</f>
        <v>13.798387096774192</v>
      </c>
      <c r="C9" s="34">
        <f>AGO!C35</f>
        <v>29.17354838709678</v>
      </c>
      <c r="D9" s="43">
        <f>AGO!M35</f>
        <v>12.5</v>
      </c>
      <c r="E9" s="34">
        <f>AGO!Y35</f>
        <v>67.374</v>
      </c>
      <c r="F9" s="29"/>
      <c r="G9" s="30">
        <f t="shared" si="0"/>
        <v>21.485967741935486</v>
      </c>
    </row>
    <row r="10" spans="1:7" ht="12.75">
      <c r="A10" s="12" t="s">
        <v>8</v>
      </c>
      <c r="B10" s="34">
        <f>SET!E34</f>
        <v>17.73166666666667</v>
      </c>
      <c r="C10" s="34">
        <f>SET!C34</f>
        <v>33.269666666666666</v>
      </c>
      <c r="D10" s="43">
        <f>SET!M34</f>
        <v>60.6</v>
      </c>
      <c r="E10" s="34">
        <f>SET!Y34</f>
        <v>86.20600000000002</v>
      </c>
      <c r="F10" s="29"/>
      <c r="G10" s="30">
        <f t="shared" si="0"/>
        <v>25.500666666666667</v>
      </c>
    </row>
    <row r="11" spans="1:7" ht="12.75">
      <c r="A11" s="12" t="s">
        <v>9</v>
      </c>
      <c r="B11" s="34">
        <f>OUT!E35</f>
        <v>18.987419354838707</v>
      </c>
      <c r="C11" s="34">
        <f>OUT!C35</f>
        <v>33.8074193548387</v>
      </c>
      <c r="D11" s="43">
        <f>OUT!M35</f>
        <v>38.79999999999999</v>
      </c>
      <c r="E11" s="34">
        <f>OUT!Y35</f>
        <v>88.79299999999999</v>
      </c>
      <c r="F11" s="29"/>
      <c r="G11" s="30">
        <f t="shared" si="0"/>
        <v>26.397419354838703</v>
      </c>
    </row>
    <row r="12" spans="1:7" ht="12.75">
      <c r="A12" s="12" t="s">
        <v>10</v>
      </c>
      <c r="B12" s="34">
        <f>NOV!E34</f>
        <v>19.53233333333334</v>
      </c>
      <c r="C12" s="34">
        <f>NOV!C34</f>
        <v>31.70866666666667</v>
      </c>
      <c r="D12" s="43">
        <f>NOV!M34</f>
        <v>187.5</v>
      </c>
      <c r="E12" s="34">
        <f>NOV!Y34</f>
        <v>63.544</v>
      </c>
      <c r="F12" s="29"/>
      <c r="G12" s="30">
        <f t="shared" si="0"/>
        <v>25.620500000000007</v>
      </c>
    </row>
    <row r="13" spans="1:7" ht="12.75">
      <c r="A13" s="12" t="s">
        <v>11</v>
      </c>
      <c r="B13" s="34">
        <f>DEZ!E35</f>
        <v>19.766774193548386</v>
      </c>
      <c r="C13" s="34">
        <f>DEZ!C35</f>
        <v>30.213548387096772</v>
      </c>
      <c r="D13" s="43">
        <f>DEZ!M35</f>
        <v>275.4000000000001</v>
      </c>
      <c r="E13" s="34">
        <f>DEZ!Y35</f>
        <v>60.374</v>
      </c>
      <c r="F13" s="29"/>
      <c r="G13" s="30">
        <f>AVERAGE(B13:C13)</f>
        <v>24.99016129032258</v>
      </c>
    </row>
    <row r="14" spans="1:7" ht="12.75">
      <c r="A14" s="17" t="s">
        <v>38</v>
      </c>
      <c r="B14" s="49">
        <f>AVERAGE(B2:B13)</f>
        <v>17.09172446236559</v>
      </c>
      <c r="C14" s="49">
        <f>AVERAGE(C2:C13)</f>
        <v>30.41503011392729</v>
      </c>
      <c r="D14" s="50">
        <f>SUM(D2:D13)</f>
        <v>1300.3</v>
      </c>
      <c r="E14" s="49">
        <f>SUM(E2:E13)</f>
        <v>756.224</v>
      </c>
      <c r="F14" s="29"/>
      <c r="G14" s="29"/>
    </row>
    <row r="15" spans="1:5" ht="12.75">
      <c r="A15" s="19"/>
      <c r="B15" s="20"/>
      <c r="C15" s="20"/>
      <c r="D15" s="21"/>
      <c r="E15" s="22"/>
    </row>
    <row r="16" spans="1:3" ht="25.5" customHeight="1">
      <c r="A16" s="23" t="s">
        <v>39</v>
      </c>
      <c r="B16" s="24">
        <f>AVERAGE(B14:C14)</f>
        <v>23.75337728814644</v>
      </c>
      <c r="C16" s="25"/>
    </row>
  </sheetData>
  <sheetProtection/>
  <printOptions horizontalCentered="1"/>
  <pageMargins left="0.5905511811023623" right="0.5905511811023623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5"/>
  <sheetViews>
    <sheetView view="pageBreakPreview" zoomScale="75" zoomScaleSheetLayoutView="75" zoomScalePageLayoutView="0" workbookViewId="0" topLeftCell="B2">
      <selection activeCell="M28" sqref="M28"/>
    </sheetView>
  </sheetViews>
  <sheetFormatPr defaultColWidth="9.140625" defaultRowHeight="12.75"/>
  <cols>
    <col min="1" max="1" width="7.140625" style="0" customWidth="1"/>
    <col min="2" max="2" width="8.28125" style="0" customWidth="1"/>
    <col min="3" max="3" width="9.7109375" style="0" customWidth="1"/>
    <col min="5" max="5" width="9.57421875" style="0" customWidth="1"/>
    <col min="6" max="6" width="8.28125" style="0" customWidth="1"/>
    <col min="7" max="7" width="9.7109375" style="0" customWidth="1"/>
    <col min="8" max="8" width="10.140625" style="0" bestFit="1" customWidth="1"/>
    <col min="9" max="9" width="7.28125" style="0" customWidth="1"/>
    <col min="11" max="11" width="7.140625" style="0" customWidth="1"/>
    <col min="13" max="13" width="8.421875" style="0" customWidth="1"/>
    <col min="15" max="15" width="10.00390625" style="0" bestFit="1" customWidth="1"/>
    <col min="16" max="16" width="7.28125" style="0" customWidth="1"/>
    <col min="17" max="17" width="7.7109375" style="0" customWidth="1"/>
    <col min="22" max="22" width="7.7109375" style="0" customWidth="1"/>
    <col min="24" max="24" width="7.7109375" style="0" customWidth="1"/>
    <col min="25" max="25" width="7.57421875" style="0" customWidth="1"/>
  </cols>
  <sheetData>
    <row r="1" spans="1:5" ht="12.75">
      <c r="A1" s="65">
        <v>43101</v>
      </c>
      <c r="B1" s="65"/>
      <c r="C1" s="8">
        <v>1</v>
      </c>
      <c r="E1">
        <v>3.6</v>
      </c>
    </row>
    <row r="2" spans="1:25" ht="33.75">
      <c r="A2" s="66" t="s">
        <v>12</v>
      </c>
      <c r="B2" s="66" t="s">
        <v>13</v>
      </c>
      <c r="C2" s="9" t="s">
        <v>14</v>
      </c>
      <c r="D2" s="9" t="s">
        <v>15</v>
      </c>
      <c r="E2" s="9" t="s">
        <v>16</v>
      </c>
      <c r="F2" s="9" t="s">
        <v>17</v>
      </c>
      <c r="G2" s="9" t="s">
        <v>18</v>
      </c>
      <c r="H2" s="9" t="s">
        <v>19</v>
      </c>
      <c r="I2" s="9" t="s">
        <v>15</v>
      </c>
      <c r="J2" s="9" t="s">
        <v>20</v>
      </c>
      <c r="K2" s="9" t="s">
        <v>17</v>
      </c>
      <c r="L2" s="9" t="s">
        <v>21</v>
      </c>
      <c r="M2" s="10" t="s">
        <v>22</v>
      </c>
      <c r="N2" s="9" t="s">
        <v>23</v>
      </c>
      <c r="O2" s="9" t="s">
        <v>24</v>
      </c>
      <c r="P2" s="9" t="s">
        <v>15</v>
      </c>
      <c r="Q2" s="9" t="s">
        <v>35</v>
      </c>
      <c r="R2" s="10" t="s">
        <v>25</v>
      </c>
      <c r="S2" s="9" t="s">
        <v>26</v>
      </c>
      <c r="T2" s="10" t="s">
        <v>15</v>
      </c>
      <c r="U2" s="9" t="s">
        <v>27</v>
      </c>
      <c r="V2" s="9" t="s">
        <v>15</v>
      </c>
      <c r="W2" s="9" t="s">
        <v>28</v>
      </c>
      <c r="X2" s="9" t="s">
        <v>17</v>
      </c>
      <c r="Y2" s="10" t="s">
        <v>29</v>
      </c>
    </row>
    <row r="3" spans="1:25" ht="12.75">
      <c r="A3" s="67"/>
      <c r="B3" s="67"/>
      <c r="C3" s="10" t="s">
        <v>30</v>
      </c>
      <c r="D3" s="10"/>
      <c r="E3" s="10" t="s">
        <v>30</v>
      </c>
      <c r="F3" s="10"/>
      <c r="G3" s="10" t="s">
        <v>30</v>
      </c>
      <c r="H3" s="10" t="s">
        <v>31</v>
      </c>
      <c r="I3" s="10"/>
      <c r="J3" s="10" t="s">
        <v>31</v>
      </c>
      <c r="K3" s="10"/>
      <c r="L3" s="10" t="s">
        <v>31</v>
      </c>
      <c r="M3" s="10" t="s">
        <v>32</v>
      </c>
      <c r="N3" s="10" t="s">
        <v>33</v>
      </c>
      <c r="O3" s="10" t="s">
        <v>42</v>
      </c>
      <c r="P3" s="10"/>
      <c r="Q3" s="10"/>
      <c r="R3" s="10" t="s">
        <v>34</v>
      </c>
      <c r="S3" s="10"/>
      <c r="T3" s="10"/>
      <c r="U3" s="10"/>
      <c r="V3" s="10"/>
      <c r="W3" s="10"/>
      <c r="X3" s="10"/>
      <c r="Y3" s="10" t="s">
        <v>32</v>
      </c>
    </row>
    <row r="4" spans="1:25" ht="12.75">
      <c r="A4" s="6">
        <v>2019</v>
      </c>
      <c r="B4" s="53">
        <v>43466</v>
      </c>
      <c r="C4" s="37">
        <v>30.43</v>
      </c>
      <c r="D4" s="6">
        <v>1808</v>
      </c>
      <c r="E4" s="6">
        <v>20.86</v>
      </c>
      <c r="F4" s="6">
        <v>712</v>
      </c>
      <c r="G4" s="37">
        <v>24.65</v>
      </c>
      <c r="H4" s="37">
        <v>93.6</v>
      </c>
      <c r="I4" s="6">
        <v>606</v>
      </c>
      <c r="J4" s="37">
        <v>46.56</v>
      </c>
      <c r="K4" s="6">
        <v>1657</v>
      </c>
      <c r="L4" s="37">
        <v>75.6</v>
      </c>
      <c r="M4" s="36">
        <v>10</v>
      </c>
      <c r="N4" s="35">
        <v>1.547</v>
      </c>
      <c r="O4" s="39">
        <f>7.4*3.6</f>
        <v>26.64</v>
      </c>
      <c r="P4" s="6">
        <v>2132</v>
      </c>
      <c r="Q4" s="36">
        <v>290.8</v>
      </c>
      <c r="R4" s="6">
        <v>11.36</v>
      </c>
      <c r="S4" s="36">
        <v>1119</v>
      </c>
      <c r="T4" s="6">
        <v>1500</v>
      </c>
      <c r="U4" s="37">
        <v>54.51</v>
      </c>
      <c r="V4" s="6">
        <v>1259</v>
      </c>
      <c r="W4" s="37">
        <v>-24.86</v>
      </c>
      <c r="X4" s="6">
        <v>2208</v>
      </c>
      <c r="Y4" s="35">
        <v>2.573</v>
      </c>
    </row>
    <row r="5" spans="1:25" ht="12.75">
      <c r="A5" s="6">
        <v>2019</v>
      </c>
      <c r="B5" s="53">
        <v>43467</v>
      </c>
      <c r="C5" s="37">
        <v>31.95</v>
      </c>
      <c r="D5" s="6">
        <v>1839</v>
      </c>
      <c r="E5" s="37">
        <v>20.4</v>
      </c>
      <c r="F5" s="6">
        <v>607</v>
      </c>
      <c r="G5" s="37">
        <v>26.01</v>
      </c>
      <c r="H5" s="37">
        <v>96.9</v>
      </c>
      <c r="I5" s="6">
        <v>424</v>
      </c>
      <c r="J5" s="37">
        <v>40.92</v>
      </c>
      <c r="K5" s="6">
        <v>1509</v>
      </c>
      <c r="L5" s="37">
        <v>70.7</v>
      </c>
      <c r="M5" s="38">
        <v>0</v>
      </c>
      <c r="N5" s="35">
        <v>0.882</v>
      </c>
      <c r="O5" s="39">
        <f>5.225*3.6</f>
        <v>18.81</v>
      </c>
      <c r="P5" s="6">
        <v>1356</v>
      </c>
      <c r="Q5" s="36">
        <v>304.8</v>
      </c>
      <c r="R5" s="37">
        <v>11.82</v>
      </c>
      <c r="S5" s="36">
        <v>1086</v>
      </c>
      <c r="T5" s="6">
        <v>1221</v>
      </c>
      <c r="U5" s="37">
        <v>58.19</v>
      </c>
      <c r="V5" s="6">
        <v>1424</v>
      </c>
      <c r="W5" s="6">
        <v>-20.74</v>
      </c>
      <c r="X5" s="6">
        <v>628</v>
      </c>
      <c r="Y5" s="35">
        <v>2.662</v>
      </c>
    </row>
    <row r="6" spans="1:25" ht="12.75">
      <c r="A6" s="6">
        <v>2019</v>
      </c>
      <c r="B6" s="53">
        <v>43468</v>
      </c>
      <c r="C6" s="37">
        <v>31.15</v>
      </c>
      <c r="D6" s="6">
        <v>1603</v>
      </c>
      <c r="E6" s="6">
        <v>21.59</v>
      </c>
      <c r="F6" s="6">
        <v>528</v>
      </c>
      <c r="G6" s="37">
        <v>25.18</v>
      </c>
      <c r="H6" s="37">
        <v>97</v>
      </c>
      <c r="I6" s="6">
        <v>734</v>
      </c>
      <c r="J6" s="37">
        <v>45.16</v>
      </c>
      <c r="K6" s="6">
        <v>1557</v>
      </c>
      <c r="L6" s="37">
        <v>75.3</v>
      </c>
      <c r="M6" s="6">
        <v>0.1</v>
      </c>
      <c r="N6" s="35">
        <v>1.448</v>
      </c>
      <c r="O6" s="39">
        <f>8.82*3.6</f>
        <v>31.752000000000002</v>
      </c>
      <c r="P6" s="6">
        <v>1630</v>
      </c>
      <c r="Q6" s="36">
        <v>223.5</v>
      </c>
      <c r="R6" s="37">
        <v>8.98</v>
      </c>
      <c r="S6" s="36">
        <v>1118</v>
      </c>
      <c r="T6" s="6">
        <v>1205</v>
      </c>
      <c r="U6" s="37">
        <v>61.8</v>
      </c>
      <c r="V6" s="6">
        <v>1353</v>
      </c>
      <c r="W6" s="37">
        <v>-19.59</v>
      </c>
      <c r="X6" s="6">
        <v>529</v>
      </c>
      <c r="Y6" s="35">
        <v>2.285</v>
      </c>
    </row>
    <row r="7" spans="1:25" ht="12.75">
      <c r="A7" s="6">
        <v>2019</v>
      </c>
      <c r="B7" s="53">
        <v>43469</v>
      </c>
      <c r="C7" s="37">
        <v>25.94</v>
      </c>
      <c r="D7" s="6">
        <v>1657</v>
      </c>
      <c r="E7" s="37">
        <v>20.6</v>
      </c>
      <c r="F7" s="6">
        <v>704</v>
      </c>
      <c r="G7" s="6">
        <v>23.19</v>
      </c>
      <c r="H7" s="37">
        <v>88.9</v>
      </c>
      <c r="I7" s="6">
        <v>1347</v>
      </c>
      <c r="J7" s="37">
        <v>65.96</v>
      </c>
      <c r="K7" s="6">
        <v>949</v>
      </c>
      <c r="L7" s="37">
        <v>78.8</v>
      </c>
      <c r="M7" s="36">
        <v>9</v>
      </c>
      <c r="N7" s="6">
        <v>1.032</v>
      </c>
      <c r="O7" s="35">
        <f>6.95*3.6</f>
        <v>25.02</v>
      </c>
      <c r="P7" s="6">
        <v>937</v>
      </c>
      <c r="Q7" s="36">
        <v>1.036</v>
      </c>
      <c r="R7" s="37">
        <v>5.783</v>
      </c>
      <c r="S7" s="36">
        <v>613.5</v>
      </c>
      <c r="T7" s="6">
        <v>936</v>
      </c>
      <c r="U7" s="37">
        <v>28.19</v>
      </c>
      <c r="V7" s="6">
        <v>1539</v>
      </c>
      <c r="W7" s="37">
        <v>-20.1</v>
      </c>
      <c r="X7" s="6">
        <v>114</v>
      </c>
      <c r="Y7" s="35">
        <v>1.178</v>
      </c>
    </row>
    <row r="8" spans="1:26" ht="12.75">
      <c r="A8" s="6">
        <v>2019</v>
      </c>
      <c r="B8" s="53">
        <v>43470</v>
      </c>
      <c r="C8" s="6">
        <v>25.02</v>
      </c>
      <c r="D8" s="6">
        <v>1559</v>
      </c>
      <c r="E8" s="6">
        <v>20.01</v>
      </c>
      <c r="F8" s="6">
        <v>813</v>
      </c>
      <c r="G8" s="37">
        <v>22.08</v>
      </c>
      <c r="H8" s="37">
        <v>95.6</v>
      </c>
      <c r="I8" s="6">
        <v>0</v>
      </c>
      <c r="J8" s="37">
        <v>71.3</v>
      </c>
      <c r="K8" s="6">
        <v>1815</v>
      </c>
      <c r="L8" s="37">
        <v>86.3</v>
      </c>
      <c r="M8" s="6">
        <v>10.9</v>
      </c>
      <c r="N8" s="39">
        <v>0.738</v>
      </c>
      <c r="O8" s="39">
        <f>3.95*3.6</f>
        <v>14.22</v>
      </c>
      <c r="P8" s="6">
        <v>1458</v>
      </c>
      <c r="Q8" s="36">
        <v>315.3</v>
      </c>
      <c r="R8" s="37">
        <v>5.921</v>
      </c>
      <c r="S8" s="36">
        <v>447.1</v>
      </c>
      <c r="T8" s="6">
        <v>1525</v>
      </c>
      <c r="U8" s="37">
        <v>26.16</v>
      </c>
      <c r="V8" s="6">
        <v>1511</v>
      </c>
      <c r="W8" s="37">
        <v>-18.39</v>
      </c>
      <c r="X8" s="6">
        <v>405</v>
      </c>
      <c r="Y8" s="35">
        <v>1.102</v>
      </c>
      <c r="Z8" s="33"/>
    </row>
    <row r="9" spans="1:25" ht="12.75">
      <c r="A9" s="6">
        <v>2019</v>
      </c>
      <c r="B9" s="53">
        <v>43471</v>
      </c>
      <c r="C9" s="37">
        <v>28.05</v>
      </c>
      <c r="D9" s="6">
        <v>1329</v>
      </c>
      <c r="E9" s="6">
        <v>20.53</v>
      </c>
      <c r="F9" s="6">
        <v>639</v>
      </c>
      <c r="G9" s="37">
        <v>23.6</v>
      </c>
      <c r="H9" s="37">
        <v>97.3</v>
      </c>
      <c r="I9" s="6">
        <v>416</v>
      </c>
      <c r="J9" s="37">
        <v>57.77</v>
      </c>
      <c r="K9" s="6">
        <v>1342</v>
      </c>
      <c r="L9" s="37">
        <v>82.6</v>
      </c>
      <c r="M9" s="6">
        <v>6.2</v>
      </c>
      <c r="N9" s="39">
        <v>1.016</v>
      </c>
      <c r="O9" s="39">
        <f>5.45*3.6</f>
        <v>19.62</v>
      </c>
      <c r="P9" s="6">
        <v>1429</v>
      </c>
      <c r="Q9" s="36">
        <v>299.3</v>
      </c>
      <c r="R9" s="34">
        <v>8.97</v>
      </c>
      <c r="S9" s="36">
        <v>1204</v>
      </c>
      <c r="T9" s="6">
        <v>1325</v>
      </c>
      <c r="U9" s="37">
        <v>52.18</v>
      </c>
      <c r="V9" s="6">
        <v>1350</v>
      </c>
      <c r="W9" s="37">
        <v>-20.61</v>
      </c>
      <c r="X9" s="6">
        <v>1514</v>
      </c>
      <c r="Y9" s="6">
        <v>1.803</v>
      </c>
    </row>
    <row r="10" spans="1:25" ht="12.75">
      <c r="A10" s="6">
        <v>2019</v>
      </c>
      <c r="B10" s="53">
        <v>43472</v>
      </c>
      <c r="C10" s="6">
        <v>32.15</v>
      </c>
      <c r="D10" s="6">
        <v>1636</v>
      </c>
      <c r="E10" s="37">
        <v>18.48</v>
      </c>
      <c r="F10" s="6">
        <v>643</v>
      </c>
      <c r="G10" s="37">
        <v>25.49</v>
      </c>
      <c r="H10" s="37">
        <v>97.3</v>
      </c>
      <c r="I10" s="6">
        <v>706</v>
      </c>
      <c r="J10" s="37">
        <v>38.46</v>
      </c>
      <c r="K10" s="6">
        <v>1610</v>
      </c>
      <c r="L10" s="37">
        <v>71.4</v>
      </c>
      <c r="M10" s="38">
        <v>0</v>
      </c>
      <c r="N10" s="39">
        <v>1.048</v>
      </c>
      <c r="O10" s="35">
        <f>6.875*3.6</f>
        <v>24.75</v>
      </c>
      <c r="P10" s="6">
        <v>1402</v>
      </c>
      <c r="Q10" s="36">
        <v>335.2</v>
      </c>
      <c r="R10" s="37">
        <v>12.72</v>
      </c>
      <c r="S10" s="36">
        <v>915</v>
      </c>
      <c r="T10" s="6">
        <v>1404</v>
      </c>
      <c r="U10" s="37">
        <v>70.1</v>
      </c>
      <c r="V10" s="6">
        <v>1350</v>
      </c>
      <c r="W10" s="37">
        <v>-22.58</v>
      </c>
      <c r="X10" s="6">
        <v>548</v>
      </c>
      <c r="Y10" s="35">
        <v>2.907</v>
      </c>
    </row>
    <row r="11" spans="1:25" ht="12.75">
      <c r="A11" s="6">
        <v>2019</v>
      </c>
      <c r="B11" s="53">
        <v>43473</v>
      </c>
      <c r="C11" s="37">
        <v>33.4</v>
      </c>
      <c r="D11" s="6">
        <v>1644</v>
      </c>
      <c r="E11" s="6">
        <v>20.86</v>
      </c>
      <c r="F11" s="6">
        <v>416</v>
      </c>
      <c r="G11" s="6">
        <v>26.83</v>
      </c>
      <c r="H11" s="37">
        <v>92.5</v>
      </c>
      <c r="I11" s="6">
        <v>424</v>
      </c>
      <c r="J11" s="6">
        <v>37.53</v>
      </c>
      <c r="K11" s="6">
        <v>1635</v>
      </c>
      <c r="L11" s="37">
        <v>69.17</v>
      </c>
      <c r="M11" s="6">
        <v>0</v>
      </c>
      <c r="N11" s="6">
        <v>0.761</v>
      </c>
      <c r="O11" s="35">
        <f>5.3*3.6</f>
        <v>19.08</v>
      </c>
      <c r="P11" s="6">
        <v>1658</v>
      </c>
      <c r="Q11" s="36">
        <v>183.4</v>
      </c>
      <c r="R11" s="6">
        <v>14.08</v>
      </c>
      <c r="S11" s="36">
        <v>975</v>
      </c>
      <c r="T11" s="6">
        <v>1240</v>
      </c>
      <c r="U11" s="37">
        <v>76.9</v>
      </c>
      <c r="V11" s="6">
        <v>1440</v>
      </c>
      <c r="W11" s="37">
        <v>-19.42</v>
      </c>
      <c r="X11" s="6">
        <v>504</v>
      </c>
      <c r="Y11" s="35">
        <v>2.908</v>
      </c>
    </row>
    <row r="12" spans="1:25" ht="12.75">
      <c r="A12" s="6">
        <v>2019</v>
      </c>
      <c r="B12" s="53">
        <v>43474</v>
      </c>
      <c r="C12" s="6">
        <v>32.02</v>
      </c>
      <c r="D12" s="6">
        <v>1644</v>
      </c>
      <c r="E12" s="37">
        <v>20.34</v>
      </c>
      <c r="F12" s="6">
        <v>705</v>
      </c>
      <c r="G12" s="6">
        <v>26.33</v>
      </c>
      <c r="H12" s="37">
        <v>92.7</v>
      </c>
      <c r="I12" s="6">
        <v>709</v>
      </c>
      <c r="J12" s="37">
        <v>41.18</v>
      </c>
      <c r="K12" s="6">
        <v>1753</v>
      </c>
      <c r="L12" s="37">
        <v>67.02</v>
      </c>
      <c r="M12" s="6">
        <v>0</v>
      </c>
      <c r="N12" s="39">
        <v>1.328</v>
      </c>
      <c r="O12" s="39">
        <f>5.9*3.6</f>
        <v>21.240000000000002</v>
      </c>
      <c r="P12" s="6">
        <v>1015</v>
      </c>
      <c r="Q12" s="43">
        <v>48.04</v>
      </c>
      <c r="R12" s="37">
        <v>10.71</v>
      </c>
      <c r="S12" s="36">
        <v>980</v>
      </c>
      <c r="T12" s="6">
        <v>1324</v>
      </c>
      <c r="U12" s="37">
        <v>61.28</v>
      </c>
      <c r="V12" s="6">
        <v>1329</v>
      </c>
      <c r="W12" s="37">
        <v>-20.3</v>
      </c>
      <c r="X12" s="6">
        <v>628</v>
      </c>
      <c r="Y12" s="35">
        <v>2.606</v>
      </c>
    </row>
    <row r="13" spans="1:25" ht="12.75">
      <c r="A13" s="6">
        <v>2019</v>
      </c>
      <c r="B13" s="53">
        <v>43475</v>
      </c>
      <c r="C13" s="6">
        <v>31.62</v>
      </c>
      <c r="D13" s="6">
        <v>1824</v>
      </c>
      <c r="E13" s="6">
        <v>19.28</v>
      </c>
      <c r="F13" s="6">
        <v>640</v>
      </c>
      <c r="G13" s="37">
        <v>26.22</v>
      </c>
      <c r="H13" s="37">
        <v>89.4</v>
      </c>
      <c r="I13" s="6">
        <v>639</v>
      </c>
      <c r="J13" s="37">
        <v>30.91</v>
      </c>
      <c r="K13" s="6">
        <v>1501</v>
      </c>
      <c r="L13" s="37">
        <v>57.73</v>
      </c>
      <c r="M13" s="6">
        <v>0</v>
      </c>
      <c r="N13" s="35">
        <v>1.105</v>
      </c>
      <c r="O13" s="39">
        <f>5.9*3.6</f>
        <v>21.240000000000002</v>
      </c>
      <c r="P13" s="6">
        <v>1356</v>
      </c>
      <c r="Q13" s="36">
        <v>0.094</v>
      </c>
      <c r="R13" s="6">
        <v>14.19</v>
      </c>
      <c r="S13" s="36">
        <v>867</v>
      </c>
      <c r="T13" s="6">
        <v>1340</v>
      </c>
      <c r="U13" s="37">
        <v>60.75</v>
      </c>
      <c r="V13" s="6">
        <v>1349</v>
      </c>
      <c r="W13" s="6">
        <v>-23.59</v>
      </c>
      <c r="X13" s="6">
        <v>654</v>
      </c>
      <c r="Y13" s="35">
        <v>3.289</v>
      </c>
    </row>
    <row r="14" spans="1:25" ht="12.75">
      <c r="A14" s="6">
        <v>2019</v>
      </c>
      <c r="B14" s="53">
        <v>43476</v>
      </c>
      <c r="C14" s="6">
        <v>30.29</v>
      </c>
      <c r="D14" s="6">
        <v>1738</v>
      </c>
      <c r="E14" s="37">
        <v>20.85</v>
      </c>
      <c r="F14" s="6">
        <v>315</v>
      </c>
      <c r="G14" s="37">
        <v>25.33</v>
      </c>
      <c r="H14" s="37">
        <v>87.5</v>
      </c>
      <c r="I14" s="6">
        <v>2358</v>
      </c>
      <c r="J14" s="37">
        <v>45.63</v>
      </c>
      <c r="K14" s="6">
        <v>1528</v>
      </c>
      <c r="L14" s="37">
        <v>67.79</v>
      </c>
      <c r="M14" s="6">
        <v>0</v>
      </c>
      <c r="N14" s="39">
        <v>1.14</v>
      </c>
      <c r="O14" s="35">
        <f>4.775*3.6</f>
        <v>17.19</v>
      </c>
      <c r="P14" s="6">
        <v>555</v>
      </c>
      <c r="Q14" s="36">
        <v>30.63</v>
      </c>
      <c r="R14" s="37">
        <v>10.8</v>
      </c>
      <c r="S14" s="36">
        <v>1121</v>
      </c>
      <c r="T14" s="6">
        <v>1306</v>
      </c>
      <c r="U14" s="6">
        <v>53.84</v>
      </c>
      <c r="V14" s="6">
        <v>1435</v>
      </c>
      <c r="W14" s="37">
        <v>-19.55</v>
      </c>
      <c r="X14" s="6">
        <v>721</v>
      </c>
      <c r="Y14" s="35">
        <v>2.409</v>
      </c>
    </row>
    <row r="15" spans="1:25" ht="12.75">
      <c r="A15" s="6">
        <v>2019</v>
      </c>
      <c r="B15" s="53">
        <v>43477</v>
      </c>
      <c r="C15" s="37">
        <v>31.29</v>
      </c>
      <c r="D15" s="6">
        <v>1444</v>
      </c>
      <c r="E15" s="37">
        <v>19.61</v>
      </c>
      <c r="F15" s="6">
        <v>2246</v>
      </c>
      <c r="G15" s="37">
        <v>22.79</v>
      </c>
      <c r="H15" s="37">
        <v>94.3</v>
      </c>
      <c r="I15" s="6">
        <v>544</v>
      </c>
      <c r="J15" s="37">
        <v>38.13</v>
      </c>
      <c r="K15" s="6">
        <v>1436</v>
      </c>
      <c r="L15" s="37">
        <v>81.4</v>
      </c>
      <c r="M15" s="6">
        <v>5.1</v>
      </c>
      <c r="N15" s="39">
        <v>1.091</v>
      </c>
      <c r="O15" s="35">
        <f>6.35*3.6</f>
        <v>22.86</v>
      </c>
      <c r="P15" s="6">
        <v>1514</v>
      </c>
      <c r="Q15" s="36">
        <v>42.37</v>
      </c>
      <c r="R15" s="37">
        <v>9.08</v>
      </c>
      <c r="S15" s="36">
        <v>1079</v>
      </c>
      <c r="T15" s="6">
        <v>1304</v>
      </c>
      <c r="U15" s="37">
        <v>52.73</v>
      </c>
      <c r="V15" s="6">
        <v>1448</v>
      </c>
      <c r="W15" s="37">
        <v>-39.76</v>
      </c>
      <c r="X15" s="6">
        <v>1602</v>
      </c>
      <c r="Y15" s="35">
        <v>2.054</v>
      </c>
    </row>
    <row r="16" spans="1:25" ht="12.75">
      <c r="A16" s="6">
        <v>2019</v>
      </c>
      <c r="B16" s="53">
        <v>43478</v>
      </c>
      <c r="C16" s="6">
        <v>32.02</v>
      </c>
      <c r="D16" s="6">
        <v>1823</v>
      </c>
      <c r="E16" s="37">
        <v>18.35</v>
      </c>
      <c r="F16" s="6">
        <v>551</v>
      </c>
      <c r="G16" s="37">
        <v>24.67</v>
      </c>
      <c r="H16" s="37">
        <v>95.4</v>
      </c>
      <c r="I16" s="6">
        <v>605</v>
      </c>
      <c r="J16" s="37">
        <v>38.2</v>
      </c>
      <c r="K16" s="6">
        <v>1819</v>
      </c>
      <c r="L16" s="37">
        <v>71.2</v>
      </c>
      <c r="M16" s="6">
        <v>0</v>
      </c>
      <c r="N16" s="39">
        <v>1.099</v>
      </c>
      <c r="O16" s="35">
        <f>4.25*3.6</f>
        <v>15.3</v>
      </c>
      <c r="P16" s="6">
        <v>1526</v>
      </c>
      <c r="Q16" s="36">
        <v>201.2</v>
      </c>
      <c r="R16" s="37">
        <v>12.51</v>
      </c>
      <c r="S16" s="36">
        <v>782</v>
      </c>
      <c r="T16" s="6">
        <v>1417</v>
      </c>
      <c r="U16" s="37">
        <v>69.85</v>
      </c>
      <c r="V16" s="6">
        <v>1352</v>
      </c>
      <c r="W16" s="37">
        <v>-24.36</v>
      </c>
      <c r="X16" s="6">
        <v>212</v>
      </c>
      <c r="Y16" s="35">
        <v>2.705</v>
      </c>
    </row>
    <row r="17" spans="1:25" ht="12.75">
      <c r="A17" s="6">
        <v>2019</v>
      </c>
      <c r="B17" s="53">
        <v>43479</v>
      </c>
      <c r="C17" s="6">
        <v>32.42</v>
      </c>
      <c r="D17" s="6">
        <v>1723</v>
      </c>
      <c r="E17" s="37">
        <v>20.73</v>
      </c>
      <c r="F17" s="6">
        <v>644</v>
      </c>
      <c r="G17" s="37">
        <v>26.45</v>
      </c>
      <c r="H17" s="37">
        <v>90.8</v>
      </c>
      <c r="I17" s="6">
        <v>719</v>
      </c>
      <c r="J17" s="37">
        <v>41.45</v>
      </c>
      <c r="K17" s="6">
        <v>1720</v>
      </c>
      <c r="L17" s="37">
        <v>67.56</v>
      </c>
      <c r="M17" s="38">
        <v>0</v>
      </c>
      <c r="N17" s="39">
        <v>0.851</v>
      </c>
      <c r="O17" s="39">
        <f>5.675*3.6</f>
        <v>20.43</v>
      </c>
      <c r="P17" s="6">
        <v>1313</v>
      </c>
      <c r="Q17" s="36">
        <v>14.97</v>
      </c>
      <c r="R17" s="37">
        <v>10.78</v>
      </c>
      <c r="S17" s="36">
        <v>883</v>
      </c>
      <c r="T17" s="6">
        <v>1421</v>
      </c>
      <c r="U17" s="37">
        <v>65.8</v>
      </c>
      <c r="V17" s="6">
        <v>1417</v>
      </c>
      <c r="W17" s="37">
        <v>-20</v>
      </c>
      <c r="X17" s="6">
        <v>655</v>
      </c>
      <c r="Y17" s="35">
        <v>2.599</v>
      </c>
    </row>
    <row r="18" spans="1:25" ht="12.75">
      <c r="A18" s="6">
        <v>2019</v>
      </c>
      <c r="B18" s="53">
        <v>43480</v>
      </c>
      <c r="C18" s="6">
        <v>32.55</v>
      </c>
      <c r="D18" s="6">
        <v>1537</v>
      </c>
      <c r="E18" s="37">
        <v>19.67</v>
      </c>
      <c r="F18" s="6">
        <v>719</v>
      </c>
      <c r="G18" s="6">
        <v>25.52</v>
      </c>
      <c r="H18" s="37">
        <v>96.9</v>
      </c>
      <c r="I18" s="6">
        <v>833</v>
      </c>
      <c r="J18" s="37">
        <v>45.43</v>
      </c>
      <c r="K18" s="6">
        <v>1506</v>
      </c>
      <c r="L18" s="37">
        <v>72.9</v>
      </c>
      <c r="M18" s="36">
        <v>1.2</v>
      </c>
      <c r="N18" s="35">
        <v>1.152</v>
      </c>
      <c r="O18" s="35">
        <f>6.35*3.6</f>
        <v>22.86</v>
      </c>
      <c r="P18" s="6">
        <v>514</v>
      </c>
      <c r="Q18" s="36">
        <v>121.1</v>
      </c>
      <c r="R18" s="37">
        <v>8.8</v>
      </c>
      <c r="S18" s="36">
        <v>957</v>
      </c>
      <c r="T18" s="6">
        <v>1245</v>
      </c>
      <c r="U18" s="37">
        <v>64.57</v>
      </c>
      <c r="V18" s="6">
        <v>1415</v>
      </c>
      <c r="W18" s="6">
        <v>-22.49</v>
      </c>
      <c r="X18" s="6">
        <v>634</v>
      </c>
      <c r="Y18" s="35">
        <v>2.005</v>
      </c>
    </row>
    <row r="19" spans="1:25" ht="12.75">
      <c r="A19" s="6">
        <v>2019</v>
      </c>
      <c r="B19" s="53">
        <v>43481</v>
      </c>
      <c r="C19" s="37">
        <v>33.74</v>
      </c>
      <c r="D19" s="6">
        <v>1732</v>
      </c>
      <c r="E19" s="37">
        <v>20.87</v>
      </c>
      <c r="F19" s="6">
        <v>651</v>
      </c>
      <c r="G19" s="6">
        <v>26.61</v>
      </c>
      <c r="H19" s="37">
        <v>94.5</v>
      </c>
      <c r="I19" s="6">
        <v>708</v>
      </c>
      <c r="J19" s="37">
        <v>33.29</v>
      </c>
      <c r="K19" s="6">
        <v>1733</v>
      </c>
      <c r="L19" s="37">
        <v>68.28</v>
      </c>
      <c r="M19" s="6">
        <v>0</v>
      </c>
      <c r="N19" s="39">
        <v>1.028</v>
      </c>
      <c r="O19" s="39">
        <v>17.48</v>
      </c>
      <c r="P19" s="6">
        <v>1859</v>
      </c>
      <c r="Q19" s="36">
        <v>159.7</v>
      </c>
      <c r="R19" s="37">
        <v>11.8</v>
      </c>
      <c r="S19" s="36">
        <v>841</v>
      </c>
      <c r="T19" s="6">
        <v>1514</v>
      </c>
      <c r="U19" s="37">
        <v>58.46</v>
      </c>
      <c r="V19" s="6">
        <v>1357</v>
      </c>
      <c r="W19" s="37">
        <v>-20.13</v>
      </c>
      <c r="X19" s="6">
        <v>2359</v>
      </c>
      <c r="Y19" s="35">
        <v>2.734</v>
      </c>
    </row>
    <row r="20" spans="1:25" ht="12.75">
      <c r="A20" s="6">
        <v>2019</v>
      </c>
      <c r="B20" s="53">
        <v>43482</v>
      </c>
      <c r="C20" s="6">
        <v>31.75</v>
      </c>
      <c r="D20" s="6">
        <v>1632</v>
      </c>
      <c r="E20" s="37">
        <v>21.26</v>
      </c>
      <c r="F20" s="6">
        <v>540</v>
      </c>
      <c r="G20" s="6">
        <v>25.55</v>
      </c>
      <c r="H20" s="37">
        <v>79.8</v>
      </c>
      <c r="I20" s="6">
        <v>808</v>
      </c>
      <c r="J20" s="37">
        <v>34.42</v>
      </c>
      <c r="K20" s="6">
        <v>1633</v>
      </c>
      <c r="L20" s="37">
        <v>64.06</v>
      </c>
      <c r="M20" s="38">
        <v>0</v>
      </c>
      <c r="N20" s="35">
        <v>1.679</v>
      </c>
      <c r="O20" s="35">
        <v>19.62</v>
      </c>
      <c r="P20" s="6">
        <v>1249</v>
      </c>
      <c r="Q20" s="36">
        <v>7.16</v>
      </c>
      <c r="R20" s="6">
        <v>8.61</v>
      </c>
      <c r="S20" s="36">
        <v>960</v>
      </c>
      <c r="T20" s="6">
        <v>1403</v>
      </c>
      <c r="U20" s="37">
        <v>41.16</v>
      </c>
      <c r="V20" s="6">
        <v>1610</v>
      </c>
      <c r="W20" s="37">
        <v>-45.05</v>
      </c>
      <c r="X20" s="6">
        <v>141.2</v>
      </c>
      <c r="Y20" s="35">
        <v>2.298</v>
      </c>
    </row>
    <row r="21" spans="1:25" ht="12.75">
      <c r="A21" s="6">
        <v>2019</v>
      </c>
      <c r="B21" s="53">
        <v>43483</v>
      </c>
      <c r="C21" s="6">
        <v>32.48</v>
      </c>
      <c r="D21" s="6">
        <v>1536</v>
      </c>
      <c r="E21" s="6">
        <v>20.01</v>
      </c>
      <c r="F21" s="6">
        <v>723</v>
      </c>
      <c r="G21" s="37">
        <v>25.8</v>
      </c>
      <c r="H21" s="37">
        <v>93.1</v>
      </c>
      <c r="I21" s="6">
        <v>729</v>
      </c>
      <c r="J21" s="37">
        <v>41.84</v>
      </c>
      <c r="K21" s="6">
        <v>1534</v>
      </c>
      <c r="L21" s="37">
        <v>68.76</v>
      </c>
      <c r="M21" s="6">
        <v>0</v>
      </c>
      <c r="N21" s="35">
        <v>1.703</v>
      </c>
      <c r="O21" s="39">
        <v>17.46</v>
      </c>
      <c r="P21" s="6">
        <v>2303</v>
      </c>
      <c r="Q21" s="36">
        <v>218.6</v>
      </c>
      <c r="R21" s="37">
        <v>9.49</v>
      </c>
      <c r="S21" s="36">
        <v>925</v>
      </c>
      <c r="T21" s="6">
        <v>1231</v>
      </c>
      <c r="U21" s="37">
        <v>55.26</v>
      </c>
      <c r="V21" s="6">
        <v>1356</v>
      </c>
      <c r="W21" s="37">
        <v>-43.11</v>
      </c>
      <c r="X21" s="6">
        <v>2330</v>
      </c>
      <c r="Y21" s="35">
        <v>2.429</v>
      </c>
    </row>
    <row r="22" spans="1:25" ht="12.75">
      <c r="A22" s="6">
        <v>2019</v>
      </c>
      <c r="B22" s="53">
        <v>43484</v>
      </c>
      <c r="C22" s="37">
        <v>32.21</v>
      </c>
      <c r="D22" s="6">
        <v>1442</v>
      </c>
      <c r="E22" s="37">
        <v>19.54</v>
      </c>
      <c r="F22" s="6">
        <v>646</v>
      </c>
      <c r="G22" s="37">
        <v>25.44</v>
      </c>
      <c r="H22" s="37">
        <v>97.8</v>
      </c>
      <c r="I22" s="6">
        <v>720</v>
      </c>
      <c r="J22" s="37">
        <v>38.86</v>
      </c>
      <c r="K22" s="6">
        <v>1721</v>
      </c>
      <c r="L22" s="37">
        <v>73.8</v>
      </c>
      <c r="M22" s="36">
        <v>21</v>
      </c>
      <c r="N22" s="35">
        <v>1.4</v>
      </c>
      <c r="O22" s="39">
        <v>46.08</v>
      </c>
      <c r="P22" s="6">
        <v>108</v>
      </c>
      <c r="Q22" s="6">
        <v>295.6</v>
      </c>
      <c r="R22" s="6">
        <v>9.94</v>
      </c>
      <c r="S22" s="36">
        <v>948</v>
      </c>
      <c r="T22" s="6">
        <v>1416</v>
      </c>
      <c r="U22" s="37">
        <v>69.74</v>
      </c>
      <c r="V22" s="6">
        <v>1342</v>
      </c>
      <c r="W22" s="38">
        <v>-6999</v>
      </c>
      <c r="X22" s="6">
        <v>107.2</v>
      </c>
      <c r="Y22" s="35">
        <v>2.399</v>
      </c>
    </row>
    <row r="23" spans="1:25" ht="12.75">
      <c r="A23" s="6">
        <v>2019</v>
      </c>
      <c r="B23" s="53">
        <v>43485</v>
      </c>
      <c r="C23" s="37">
        <v>33.67</v>
      </c>
      <c r="D23" s="6">
        <v>1721</v>
      </c>
      <c r="E23" s="37">
        <v>19.87</v>
      </c>
      <c r="F23" s="6">
        <v>657</v>
      </c>
      <c r="G23" s="6">
        <v>25.81</v>
      </c>
      <c r="H23" s="37">
        <v>95.9</v>
      </c>
      <c r="I23" s="6">
        <v>2357</v>
      </c>
      <c r="J23" s="37">
        <v>37.07</v>
      </c>
      <c r="K23" s="6">
        <v>1714</v>
      </c>
      <c r="L23" s="37">
        <v>72.4</v>
      </c>
      <c r="M23" s="36">
        <v>12.2</v>
      </c>
      <c r="N23" s="35">
        <v>1.527</v>
      </c>
      <c r="O23" s="39">
        <v>32.04</v>
      </c>
      <c r="P23" s="6">
        <v>2202</v>
      </c>
      <c r="Q23" s="36">
        <v>209.9</v>
      </c>
      <c r="R23" s="37">
        <v>10.65</v>
      </c>
      <c r="S23" s="36">
        <v>971</v>
      </c>
      <c r="T23" s="6">
        <v>1426</v>
      </c>
      <c r="U23" s="37">
        <v>65.1</v>
      </c>
      <c r="V23" s="6">
        <v>1341</v>
      </c>
      <c r="W23" s="37">
        <v>-174.9</v>
      </c>
      <c r="X23" s="6">
        <v>2202</v>
      </c>
      <c r="Y23" s="35">
        <v>2.741</v>
      </c>
    </row>
    <row r="24" spans="1:25" ht="12.75">
      <c r="A24" s="6">
        <v>2019</v>
      </c>
      <c r="B24" s="53">
        <v>43486</v>
      </c>
      <c r="C24" s="6">
        <v>34.39</v>
      </c>
      <c r="D24" s="6">
        <v>1646</v>
      </c>
      <c r="E24" s="37">
        <v>20.6</v>
      </c>
      <c r="F24" s="6">
        <v>608</v>
      </c>
      <c r="G24" s="37">
        <v>26.71</v>
      </c>
      <c r="H24" s="37">
        <v>97.3</v>
      </c>
      <c r="I24" s="6">
        <v>140</v>
      </c>
      <c r="J24" s="37">
        <v>32.49</v>
      </c>
      <c r="K24" s="6">
        <v>1549</v>
      </c>
      <c r="L24" s="37">
        <v>71.6</v>
      </c>
      <c r="M24" s="38">
        <v>0</v>
      </c>
      <c r="N24" s="35">
        <v>0.709</v>
      </c>
      <c r="O24" s="35">
        <f>4.475*3.6</f>
        <v>16.11</v>
      </c>
      <c r="P24" s="6">
        <v>249</v>
      </c>
      <c r="Q24" s="36">
        <v>36.28</v>
      </c>
      <c r="R24" s="6">
        <v>10.76</v>
      </c>
      <c r="S24" s="36">
        <v>870</v>
      </c>
      <c r="T24" s="6">
        <v>1435</v>
      </c>
      <c r="U24" s="37">
        <v>70.6</v>
      </c>
      <c r="V24" s="6">
        <v>1401</v>
      </c>
      <c r="W24" s="37">
        <v>-50.71</v>
      </c>
      <c r="X24" s="6">
        <v>0</v>
      </c>
      <c r="Y24" s="35">
        <v>2.428</v>
      </c>
    </row>
    <row r="25" spans="1:25" ht="12.75">
      <c r="A25" s="6">
        <v>2019</v>
      </c>
      <c r="B25" s="53">
        <v>43487</v>
      </c>
      <c r="C25" s="6">
        <v>35.13</v>
      </c>
      <c r="D25" s="6">
        <v>1638</v>
      </c>
      <c r="E25" s="37">
        <v>21.6</v>
      </c>
      <c r="F25" s="6">
        <v>708</v>
      </c>
      <c r="G25" s="37">
        <v>27.59</v>
      </c>
      <c r="H25" s="37">
        <v>95.8</v>
      </c>
      <c r="I25" s="6">
        <v>2320</v>
      </c>
      <c r="J25" s="37">
        <v>30.1</v>
      </c>
      <c r="K25" s="6">
        <v>1652</v>
      </c>
      <c r="L25" s="37">
        <v>67.91</v>
      </c>
      <c r="M25" s="36">
        <v>3</v>
      </c>
      <c r="N25" s="39">
        <v>0.776</v>
      </c>
      <c r="O25" s="35">
        <f>12.65*3.6</f>
        <v>45.54</v>
      </c>
      <c r="P25" s="6">
        <v>2123</v>
      </c>
      <c r="Q25" s="36">
        <v>130.9</v>
      </c>
      <c r="R25" s="6">
        <v>9.75</v>
      </c>
      <c r="S25" s="36">
        <v>984</v>
      </c>
      <c r="T25" s="6">
        <v>1256</v>
      </c>
      <c r="U25" s="37">
        <v>63.71</v>
      </c>
      <c r="V25" s="6">
        <v>1305</v>
      </c>
      <c r="W25" s="37">
        <v>-37.55</v>
      </c>
      <c r="X25" s="6">
        <v>2149</v>
      </c>
      <c r="Y25" s="35">
        <v>2.412</v>
      </c>
    </row>
    <row r="26" spans="1:25" ht="12.75">
      <c r="A26" s="6">
        <v>2019</v>
      </c>
      <c r="B26" s="53">
        <v>43488</v>
      </c>
      <c r="C26" s="6">
        <v>35.06</v>
      </c>
      <c r="D26" s="6">
        <v>1623</v>
      </c>
      <c r="E26" s="37">
        <v>21.11</v>
      </c>
      <c r="F26" s="6">
        <v>2357</v>
      </c>
      <c r="G26" s="37">
        <v>26.63</v>
      </c>
      <c r="H26" s="37">
        <v>93.1</v>
      </c>
      <c r="I26" s="6">
        <v>8</v>
      </c>
      <c r="J26" s="37">
        <v>33.35</v>
      </c>
      <c r="K26" s="6">
        <v>1644</v>
      </c>
      <c r="L26" s="37">
        <v>70.3</v>
      </c>
      <c r="M26" s="6">
        <v>8.6</v>
      </c>
      <c r="N26" s="35">
        <v>1.372</v>
      </c>
      <c r="O26" s="35">
        <f>7.4*3.6</f>
        <v>26.64</v>
      </c>
      <c r="P26" s="6">
        <v>2344</v>
      </c>
      <c r="Q26" s="36">
        <v>126.7</v>
      </c>
      <c r="R26" s="37">
        <v>9.73</v>
      </c>
      <c r="S26" s="36">
        <v>880</v>
      </c>
      <c r="T26" s="6">
        <v>1349</v>
      </c>
      <c r="U26" s="37">
        <v>64.72</v>
      </c>
      <c r="V26" s="6">
        <v>1418</v>
      </c>
      <c r="W26" s="37">
        <v>-94.8</v>
      </c>
      <c r="X26" s="6">
        <v>2353</v>
      </c>
      <c r="Y26" s="35">
        <v>2.551</v>
      </c>
    </row>
    <row r="27" spans="1:25" ht="12.75">
      <c r="A27" s="6">
        <v>2019</v>
      </c>
      <c r="B27" s="53">
        <v>43489</v>
      </c>
      <c r="C27" s="37">
        <v>32.88</v>
      </c>
      <c r="D27" s="6">
        <v>1519</v>
      </c>
      <c r="E27" s="37">
        <v>20.66</v>
      </c>
      <c r="F27" s="6">
        <v>353</v>
      </c>
      <c r="G27" s="37">
        <v>25.12</v>
      </c>
      <c r="H27" s="37">
        <v>97.1</v>
      </c>
      <c r="I27" s="6">
        <v>256</v>
      </c>
      <c r="J27" s="37">
        <v>37.47</v>
      </c>
      <c r="K27" s="6">
        <v>1526</v>
      </c>
      <c r="L27" s="37">
        <v>75.5</v>
      </c>
      <c r="M27" s="6">
        <v>10.1</v>
      </c>
      <c r="N27" s="35">
        <v>1.598</v>
      </c>
      <c r="O27" s="35">
        <v>34.452</v>
      </c>
      <c r="P27" s="6">
        <v>1811</v>
      </c>
      <c r="Q27" s="36">
        <v>98.5</v>
      </c>
      <c r="R27" s="37">
        <v>7.93</v>
      </c>
      <c r="S27" s="36">
        <v>1005</v>
      </c>
      <c r="T27" s="6">
        <v>1309</v>
      </c>
      <c r="U27" s="37">
        <v>60.3</v>
      </c>
      <c r="V27" s="6">
        <v>1436</v>
      </c>
      <c r="W27" s="37">
        <v>-103.2</v>
      </c>
      <c r="X27" s="6">
        <v>3</v>
      </c>
      <c r="Y27" s="35">
        <v>2.041</v>
      </c>
    </row>
    <row r="28" spans="1:25" ht="12.75">
      <c r="A28" s="6">
        <v>2019</v>
      </c>
      <c r="B28" s="53">
        <v>43490</v>
      </c>
      <c r="C28" s="37">
        <v>34.73</v>
      </c>
      <c r="D28" s="6">
        <v>1517</v>
      </c>
      <c r="E28" s="37">
        <v>18.81</v>
      </c>
      <c r="F28" s="6">
        <v>2308</v>
      </c>
      <c r="G28" s="37">
        <v>25.31</v>
      </c>
      <c r="H28" s="37">
        <v>95.7</v>
      </c>
      <c r="I28" s="6">
        <v>2359</v>
      </c>
      <c r="J28" s="6">
        <v>31.96</v>
      </c>
      <c r="K28" s="6">
        <v>1509</v>
      </c>
      <c r="L28" s="37">
        <v>70.2</v>
      </c>
      <c r="M28" s="6">
        <v>1.8</v>
      </c>
      <c r="N28" s="6">
        <v>2.203</v>
      </c>
      <c r="O28" s="35">
        <v>44.712</v>
      </c>
      <c r="P28" s="6">
        <v>2030</v>
      </c>
      <c r="Q28" s="36">
        <v>91.5</v>
      </c>
      <c r="R28" s="6">
        <v>11.34</v>
      </c>
      <c r="S28" s="36">
        <v>906</v>
      </c>
      <c r="T28" s="38">
        <v>1426</v>
      </c>
      <c r="U28" s="37">
        <v>58.34</v>
      </c>
      <c r="V28" s="6">
        <v>1523</v>
      </c>
      <c r="W28" s="37">
        <v>-32.47</v>
      </c>
      <c r="X28" s="6">
        <v>2245</v>
      </c>
      <c r="Y28" s="35">
        <v>2.98</v>
      </c>
    </row>
    <row r="29" spans="1:25" ht="12.75">
      <c r="A29" s="6">
        <v>2019</v>
      </c>
      <c r="B29" s="53">
        <v>43491</v>
      </c>
      <c r="C29" s="6">
        <v>29.11</v>
      </c>
      <c r="D29" s="6">
        <v>1534</v>
      </c>
      <c r="E29" s="37">
        <v>18.55</v>
      </c>
      <c r="F29" s="6">
        <v>658</v>
      </c>
      <c r="G29" s="6">
        <v>22.36</v>
      </c>
      <c r="H29" s="37">
        <v>96.1</v>
      </c>
      <c r="I29" s="6">
        <v>16</v>
      </c>
      <c r="J29" s="37">
        <v>48.08</v>
      </c>
      <c r="K29" s="6">
        <v>1523</v>
      </c>
      <c r="L29" s="37">
        <v>78.7</v>
      </c>
      <c r="M29" s="36">
        <v>0.5</v>
      </c>
      <c r="N29" s="6">
        <v>2.004</v>
      </c>
      <c r="O29" s="35">
        <v>24.48</v>
      </c>
      <c r="P29" s="6">
        <v>1747</v>
      </c>
      <c r="Q29" s="6">
        <v>34</v>
      </c>
      <c r="R29" s="6">
        <v>9.28</v>
      </c>
      <c r="S29" s="36">
        <v>1022</v>
      </c>
      <c r="T29" s="6">
        <v>1407</v>
      </c>
      <c r="U29" s="37">
        <v>48.27</v>
      </c>
      <c r="V29" s="6">
        <v>1453</v>
      </c>
      <c r="W29" s="37">
        <v>-48.79</v>
      </c>
      <c r="X29" s="6">
        <v>2213</v>
      </c>
      <c r="Y29" s="35">
        <v>2.223</v>
      </c>
    </row>
    <row r="30" spans="1:25" ht="12.75">
      <c r="A30" s="6">
        <v>2019</v>
      </c>
      <c r="B30" s="53">
        <v>43492</v>
      </c>
      <c r="C30" s="37">
        <v>26.14</v>
      </c>
      <c r="D30" s="6">
        <v>1523</v>
      </c>
      <c r="E30" s="6">
        <v>18.15</v>
      </c>
      <c r="F30" s="6">
        <v>544</v>
      </c>
      <c r="G30" s="6">
        <v>21.76</v>
      </c>
      <c r="H30" s="37">
        <v>94</v>
      </c>
      <c r="I30" s="6">
        <v>556</v>
      </c>
      <c r="J30" s="37">
        <v>61.17</v>
      </c>
      <c r="K30" s="6">
        <v>1428</v>
      </c>
      <c r="L30" s="37">
        <v>80.9</v>
      </c>
      <c r="M30" s="36">
        <v>0.4</v>
      </c>
      <c r="N30" s="35">
        <v>1.115</v>
      </c>
      <c r="O30" s="35">
        <v>19.35</v>
      </c>
      <c r="P30" s="6">
        <v>1433</v>
      </c>
      <c r="Q30" s="36">
        <v>0.188</v>
      </c>
      <c r="R30" s="6">
        <v>5.65</v>
      </c>
      <c r="S30" s="36">
        <v>655.6</v>
      </c>
      <c r="T30" s="6">
        <v>1404</v>
      </c>
      <c r="U30" s="6">
        <v>19.75</v>
      </c>
      <c r="V30" s="6">
        <v>1439</v>
      </c>
      <c r="W30" s="37">
        <v>-28.26</v>
      </c>
      <c r="X30" s="6">
        <v>134.1</v>
      </c>
      <c r="Y30" s="35">
        <v>1.247</v>
      </c>
    </row>
    <row r="31" spans="1:25" ht="12.75">
      <c r="A31" s="6">
        <v>2019</v>
      </c>
      <c r="B31" s="53">
        <v>43493</v>
      </c>
      <c r="C31" s="37">
        <v>33.87</v>
      </c>
      <c r="D31" s="6">
        <v>1558</v>
      </c>
      <c r="E31" s="37">
        <v>18.61</v>
      </c>
      <c r="F31" s="6">
        <v>711</v>
      </c>
      <c r="G31" s="6">
        <v>25.91</v>
      </c>
      <c r="H31" s="37">
        <v>95.5</v>
      </c>
      <c r="I31" s="6">
        <v>536</v>
      </c>
      <c r="J31" s="37">
        <v>27.72</v>
      </c>
      <c r="K31" s="6">
        <v>1702</v>
      </c>
      <c r="L31" s="37">
        <v>64.11</v>
      </c>
      <c r="M31" s="6">
        <v>0.1</v>
      </c>
      <c r="N31" s="35">
        <v>1.607</v>
      </c>
      <c r="O31" s="45">
        <v>22.86</v>
      </c>
      <c r="P31" s="6">
        <v>1057</v>
      </c>
      <c r="Q31" s="36">
        <v>83.6</v>
      </c>
      <c r="R31" s="37">
        <v>13.04</v>
      </c>
      <c r="S31" s="36">
        <v>845</v>
      </c>
      <c r="T31" s="6">
        <v>1359</v>
      </c>
      <c r="U31" s="37">
        <v>62.91</v>
      </c>
      <c r="V31" s="6">
        <v>1428</v>
      </c>
      <c r="W31" s="37">
        <v>-44.2</v>
      </c>
      <c r="X31" s="6">
        <v>2305</v>
      </c>
      <c r="Y31" s="35">
        <v>3.398</v>
      </c>
    </row>
    <row r="32" spans="1:25" ht="12.75">
      <c r="A32" s="6">
        <v>2019</v>
      </c>
      <c r="B32" s="53">
        <v>43494</v>
      </c>
      <c r="C32" s="6">
        <v>34.59</v>
      </c>
      <c r="D32" s="6">
        <v>1541</v>
      </c>
      <c r="E32" s="6">
        <v>21.07</v>
      </c>
      <c r="F32" s="6">
        <v>657</v>
      </c>
      <c r="G32" s="6">
        <v>27.54</v>
      </c>
      <c r="H32" s="37">
        <v>78.1</v>
      </c>
      <c r="I32" s="6">
        <v>745</v>
      </c>
      <c r="J32" s="37">
        <v>26.92</v>
      </c>
      <c r="K32" s="6">
        <v>1537</v>
      </c>
      <c r="L32" s="37">
        <v>54.25</v>
      </c>
      <c r="M32" s="36">
        <v>0</v>
      </c>
      <c r="N32" s="35">
        <v>0.995</v>
      </c>
      <c r="O32" s="45">
        <v>20.7</v>
      </c>
      <c r="P32" s="6">
        <v>1337</v>
      </c>
      <c r="Q32" s="36">
        <v>35.41</v>
      </c>
      <c r="R32" s="37">
        <v>13.18</v>
      </c>
      <c r="S32" s="36">
        <v>824</v>
      </c>
      <c r="T32" s="6">
        <v>1345</v>
      </c>
      <c r="U32" s="37">
        <v>65.22</v>
      </c>
      <c r="V32" s="6">
        <v>1414</v>
      </c>
      <c r="W32" s="37">
        <v>-23.59</v>
      </c>
      <c r="X32" s="6">
        <v>438</v>
      </c>
      <c r="Y32" s="35">
        <v>3.408</v>
      </c>
    </row>
    <row r="33" spans="1:25" ht="12.75">
      <c r="A33" s="6">
        <v>2019</v>
      </c>
      <c r="B33" s="53">
        <v>43495</v>
      </c>
      <c r="C33" s="6">
        <v>35.13</v>
      </c>
      <c r="D33" s="6">
        <v>1506</v>
      </c>
      <c r="E33" s="37">
        <v>20.4</v>
      </c>
      <c r="F33" s="6">
        <v>704</v>
      </c>
      <c r="G33" s="37">
        <v>27.5</v>
      </c>
      <c r="H33" s="37">
        <v>86.1</v>
      </c>
      <c r="I33" s="6">
        <v>708</v>
      </c>
      <c r="J33" s="37">
        <v>26.06</v>
      </c>
      <c r="K33" s="6">
        <v>1711</v>
      </c>
      <c r="L33" s="37">
        <v>56.06</v>
      </c>
      <c r="M33" s="6">
        <v>0</v>
      </c>
      <c r="N33" s="35">
        <v>0.958</v>
      </c>
      <c r="O33" s="47">
        <v>18</v>
      </c>
      <c r="P33" s="6">
        <v>1108</v>
      </c>
      <c r="Q33" s="6">
        <v>349.1</v>
      </c>
      <c r="R33" s="37">
        <v>12.49</v>
      </c>
      <c r="S33" s="36">
        <v>837</v>
      </c>
      <c r="T33" s="6">
        <v>1353</v>
      </c>
      <c r="U33" s="37">
        <v>63.81</v>
      </c>
      <c r="V33" s="6">
        <v>1423</v>
      </c>
      <c r="W33" s="37">
        <v>-47.53</v>
      </c>
      <c r="X33" s="6">
        <v>141</v>
      </c>
      <c r="Y33" s="35">
        <v>3.259</v>
      </c>
    </row>
    <row r="34" spans="1:25" ht="12.75">
      <c r="A34" s="6">
        <v>2019</v>
      </c>
      <c r="B34" s="53">
        <v>43496</v>
      </c>
      <c r="C34" s="6">
        <v>36.45</v>
      </c>
      <c r="D34" s="6">
        <v>1656</v>
      </c>
      <c r="E34" s="37">
        <v>20.47</v>
      </c>
      <c r="F34" s="6">
        <v>653</v>
      </c>
      <c r="G34" s="6">
        <v>28.21</v>
      </c>
      <c r="H34" s="37">
        <v>85.3</v>
      </c>
      <c r="I34" s="6">
        <v>729</v>
      </c>
      <c r="J34" s="6">
        <v>21.75</v>
      </c>
      <c r="K34" s="6">
        <v>1605</v>
      </c>
      <c r="L34" s="37">
        <v>53.44</v>
      </c>
      <c r="M34" s="36">
        <v>0.3</v>
      </c>
      <c r="N34" s="35">
        <v>1.096</v>
      </c>
      <c r="O34" s="47">
        <v>29.052</v>
      </c>
      <c r="P34" s="6">
        <v>216</v>
      </c>
      <c r="Q34" s="36">
        <v>71</v>
      </c>
      <c r="R34" s="37">
        <v>11.06</v>
      </c>
      <c r="S34" s="36">
        <v>869</v>
      </c>
      <c r="T34" s="6">
        <v>1438</v>
      </c>
      <c r="U34" s="37">
        <v>63.62</v>
      </c>
      <c r="V34" s="6">
        <v>1441</v>
      </c>
      <c r="W34" s="6">
        <v>-46.63</v>
      </c>
      <c r="X34" s="6">
        <v>247.2</v>
      </c>
      <c r="Y34" s="35">
        <v>2.93</v>
      </c>
    </row>
    <row r="35" spans="3:25" ht="12.75">
      <c r="C35" s="40">
        <f>AVERAGE(C4:C34)</f>
        <v>31.988064516129036</v>
      </c>
      <c r="D35" s="33"/>
      <c r="E35" s="40">
        <f>AVERAGE(E4:E34)</f>
        <v>20.120645161290327</v>
      </c>
      <c r="F35" s="33"/>
      <c r="G35" s="40">
        <f>AVERAGE(G4:G34)</f>
        <v>25.425483870967742</v>
      </c>
      <c r="H35" s="40">
        <f>AVERAGE(H4:H34)</f>
        <v>92.94516129032256</v>
      </c>
      <c r="I35" s="33"/>
      <c r="J35" s="40">
        <f>AVERAGE(J4:J34)</f>
        <v>40.230322580645165</v>
      </c>
      <c r="K35" s="33"/>
      <c r="L35" s="40">
        <f>AVERAGE(L4:L34)</f>
        <v>70.50774193548386</v>
      </c>
      <c r="M35" s="41">
        <f>SUM(M4:M34)</f>
        <v>100.49999999999999</v>
      </c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41">
        <f>SUM(Y4:Y34)</f>
        <v>76.563</v>
      </c>
    </row>
  </sheetData>
  <sheetProtection/>
  <mergeCells count="3">
    <mergeCell ref="A1:B1"/>
    <mergeCell ref="A2:A3"/>
    <mergeCell ref="B2:B3"/>
  </mergeCells>
  <printOptions horizontalCentered="1"/>
  <pageMargins left="0.3937007874015748" right="0.3937007874015748" top="0.984251968503937" bottom="0.5905511811023623" header="0.5118110236220472" footer="0.5118110236220472"/>
  <pageSetup horizontalDpi="300" verticalDpi="300" orientation="landscape" paperSize="9" scale="64" r:id="rId1"/>
  <headerFooter alignWithMargins="0">
    <oddHeader>&amp;C&amp;"Arial,Negrito"POSTO METEOROLÓGICO - ESTAÇÃO EXPERIMENTAL DE CITRICULTURA DE BEBEDOURO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32"/>
  <sheetViews>
    <sheetView view="pageBreakPreview" zoomScale="75" zoomScaleSheetLayoutView="75" zoomScalePageLayoutView="0" workbookViewId="0" topLeftCell="B2">
      <selection activeCell="B4" sqref="B4:B31"/>
    </sheetView>
  </sheetViews>
  <sheetFormatPr defaultColWidth="9.140625" defaultRowHeight="12.75"/>
  <cols>
    <col min="1" max="1" width="7.140625" style="0" customWidth="1"/>
    <col min="2" max="2" width="8.28125" style="0" customWidth="1"/>
    <col min="3" max="3" width="9.7109375" style="0" customWidth="1"/>
    <col min="6" max="6" width="8.28125" style="0" customWidth="1"/>
    <col min="7" max="7" width="9.7109375" style="0" customWidth="1"/>
    <col min="9" max="9" width="7.28125" style="0" customWidth="1"/>
    <col min="11" max="11" width="7.140625" style="0" customWidth="1"/>
    <col min="13" max="13" width="8.421875" style="0" customWidth="1"/>
    <col min="16" max="17" width="7.7109375" style="0" customWidth="1"/>
    <col min="22" max="22" width="7.7109375" style="0" customWidth="1"/>
    <col min="24" max="24" width="7.7109375" style="0" customWidth="1"/>
    <col min="25" max="25" width="7.57421875" style="0" customWidth="1"/>
  </cols>
  <sheetData>
    <row r="1" spans="1:3" ht="12.75">
      <c r="A1" s="65">
        <v>43132</v>
      </c>
      <c r="B1" s="65"/>
      <c r="C1" s="8">
        <v>1</v>
      </c>
    </row>
    <row r="2" spans="1:25" ht="42.75" customHeight="1">
      <c r="A2" s="66" t="s">
        <v>12</v>
      </c>
      <c r="B2" s="66" t="s">
        <v>13</v>
      </c>
      <c r="C2" s="9" t="s">
        <v>14</v>
      </c>
      <c r="D2" s="9" t="s">
        <v>15</v>
      </c>
      <c r="E2" s="9" t="s">
        <v>16</v>
      </c>
      <c r="F2" s="9" t="s">
        <v>17</v>
      </c>
      <c r="G2" s="9" t="s">
        <v>18</v>
      </c>
      <c r="H2" s="9" t="s">
        <v>19</v>
      </c>
      <c r="I2" s="9" t="s">
        <v>15</v>
      </c>
      <c r="J2" s="9" t="s">
        <v>20</v>
      </c>
      <c r="K2" s="9" t="s">
        <v>17</v>
      </c>
      <c r="L2" s="9" t="s">
        <v>21</v>
      </c>
      <c r="M2" s="10" t="s">
        <v>22</v>
      </c>
      <c r="N2" s="9" t="s">
        <v>23</v>
      </c>
      <c r="O2" s="60" t="s">
        <v>24</v>
      </c>
      <c r="P2" s="9" t="s">
        <v>15</v>
      </c>
      <c r="Q2" s="9" t="s">
        <v>35</v>
      </c>
      <c r="R2" s="10" t="s">
        <v>25</v>
      </c>
      <c r="S2" s="9" t="s">
        <v>26</v>
      </c>
      <c r="T2" s="10" t="s">
        <v>15</v>
      </c>
      <c r="U2" s="9" t="s">
        <v>27</v>
      </c>
      <c r="V2" s="9" t="s">
        <v>15</v>
      </c>
      <c r="W2" s="9" t="s">
        <v>28</v>
      </c>
      <c r="X2" s="9" t="s">
        <v>17</v>
      </c>
      <c r="Y2" s="10" t="s">
        <v>29</v>
      </c>
    </row>
    <row r="3" spans="1:25" ht="12.75">
      <c r="A3" s="67"/>
      <c r="B3" s="67"/>
      <c r="C3" s="10" t="s">
        <v>30</v>
      </c>
      <c r="D3" s="10"/>
      <c r="E3" s="10" t="s">
        <v>30</v>
      </c>
      <c r="F3" s="10"/>
      <c r="G3" s="10" t="s">
        <v>30</v>
      </c>
      <c r="H3" s="10" t="s">
        <v>31</v>
      </c>
      <c r="I3" s="10"/>
      <c r="J3" s="10" t="s">
        <v>31</v>
      </c>
      <c r="K3" s="10"/>
      <c r="L3" s="10" t="s">
        <v>31</v>
      </c>
      <c r="M3" s="10" t="s">
        <v>32</v>
      </c>
      <c r="N3" s="10" t="s">
        <v>33</v>
      </c>
      <c r="O3" s="10" t="s">
        <v>42</v>
      </c>
      <c r="P3" s="10"/>
      <c r="Q3" s="10"/>
      <c r="R3" s="10" t="s">
        <v>34</v>
      </c>
      <c r="S3" s="10"/>
      <c r="T3" s="10"/>
      <c r="U3" s="10"/>
      <c r="V3" s="10"/>
      <c r="W3" s="10"/>
      <c r="X3" s="10"/>
      <c r="Y3" s="10" t="s">
        <v>32</v>
      </c>
    </row>
    <row r="4" spans="1:26" ht="12.75">
      <c r="A4" s="6">
        <v>2019</v>
      </c>
      <c r="B4" s="53">
        <v>43497</v>
      </c>
      <c r="C4" s="37">
        <v>36.123</v>
      </c>
      <c r="D4" s="6">
        <v>1650</v>
      </c>
      <c r="E4" s="6">
        <v>21</v>
      </c>
      <c r="F4" s="6">
        <v>713</v>
      </c>
      <c r="G4" s="6">
        <v>28.41</v>
      </c>
      <c r="H4" s="54">
        <v>86.4</v>
      </c>
      <c r="I4" s="6">
        <v>719</v>
      </c>
      <c r="J4" s="37">
        <v>25.2</v>
      </c>
      <c r="K4" s="6">
        <v>1646</v>
      </c>
      <c r="L4" s="37">
        <v>55</v>
      </c>
      <c r="M4" s="6">
        <v>0</v>
      </c>
      <c r="N4" s="6">
        <v>7.074</v>
      </c>
      <c r="O4" s="47">
        <v>20.7</v>
      </c>
      <c r="P4" s="6">
        <v>1338</v>
      </c>
      <c r="Q4" s="54">
        <v>5.273</v>
      </c>
      <c r="R4" s="37">
        <v>11.01</v>
      </c>
      <c r="S4" s="36">
        <v>832</v>
      </c>
      <c r="T4" s="6">
        <v>1408</v>
      </c>
      <c r="U4" s="37">
        <v>57.21</v>
      </c>
      <c r="V4" s="6">
        <v>1440</v>
      </c>
      <c r="W4" s="6">
        <v>-47.2</v>
      </c>
      <c r="X4" s="6">
        <v>458</v>
      </c>
      <c r="Y4" s="35">
        <v>3.207</v>
      </c>
      <c r="Z4" s="31"/>
    </row>
    <row r="5" spans="1:25" ht="12.75">
      <c r="A5" s="6">
        <v>2019</v>
      </c>
      <c r="B5" s="53">
        <v>43498</v>
      </c>
      <c r="C5" s="6">
        <v>36.65</v>
      </c>
      <c r="D5" s="6">
        <v>1620</v>
      </c>
      <c r="E5" s="6">
        <v>20.99</v>
      </c>
      <c r="F5" s="6">
        <v>645</v>
      </c>
      <c r="G5" s="6">
        <v>27.86</v>
      </c>
      <c r="H5" s="54">
        <v>87.6</v>
      </c>
      <c r="I5" s="6">
        <v>641</v>
      </c>
      <c r="J5" s="6">
        <v>27.18</v>
      </c>
      <c r="K5" s="6">
        <v>1620</v>
      </c>
      <c r="L5" s="37">
        <v>59.15</v>
      </c>
      <c r="M5" s="6">
        <v>0</v>
      </c>
      <c r="N5" s="6">
        <v>1.323</v>
      </c>
      <c r="O5" s="47">
        <v>33.12</v>
      </c>
      <c r="P5" s="6">
        <v>1840</v>
      </c>
      <c r="Q5" s="44">
        <v>207.5</v>
      </c>
      <c r="R5" s="6">
        <v>10.31</v>
      </c>
      <c r="S5" s="36">
        <v>895</v>
      </c>
      <c r="T5" s="6">
        <v>1400</v>
      </c>
      <c r="U5" s="37">
        <v>55.66</v>
      </c>
      <c r="V5" s="6">
        <v>1414</v>
      </c>
      <c r="W5" s="37">
        <v>-42.1</v>
      </c>
      <c r="X5" s="6">
        <v>30</v>
      </c>
      <c r="Y5" s="35">
        <v>2.951</v>
      </c>
    </row>
    <row r="6" spans="1:25" ht="12.75">
      <c r="A6" s="6">
        <v>2019</v>
      </c>
      <c r="B6" s="53">
        <v>43499</v>
      </c>
      <c r="C6" s="37">
        <v>36.25</v>
      </c>
      <c r="D6" s="6">
        <v>1531</v>
      </c>
      <c r="E6" s="37">
        <v>20.66</v>
      </c>
      <c r="F6" s="6">
        <v>650</v>
      </c>
      <c r="G6" s="6">
        <v>26.18</v>
      </c>
      <c r="H6" s="54">
        <v>91.3</v>
      </c>
      <c r="I6" s="6">
        <v>650</v>
      </c>
      <c r="J6" s="37">
        <v>31.43</v>
      </c>
      <c r="K6" s="6">
        <v>1532</v>
      </c>
      <c r="L6" s="37">
        <v>66.33</v>
      </c>
      <c r="M6" s="36">
        <v>4</v>
      </c>
      <c r="N6" s="39">
        <v>1.684</v>
      </c>
      <c r="O6" s="45">
        <v>31.752</v>
      </c>
      <c r="P6" s="38">
        <v>2012</v>
      </c>
      <c r="Q6" s="46">
        <v>109.9</v>
      </c>
      <c r="R6" s="37">
        <v>9.33</v>
      </c>
      <c r="S6" s="36">
        <v>761</v>
      </c>
      <c r="T6" s="6">
        <v>1450</v>
      </c>
      <c r="U6" s="37">
        <v>58.65</v>
      </c>
      <c r="V6" s="6">
        <v>1429</v>
      </c>
      <c r="W6" s="6">
        <v>-45.05</v>
      </c>
      <c r="X6" s="6">
        <v>406</v>
      </c>
      <c r="Y6" s="35">
        <v>2.611</v>
      </c>
    </row>
    <row r="7" spans="1:25" ht="12.75">
      <c r="A7" s="6">
        <v>2019</v>
      </c>
      <c r="B7" s="53">
        <v>43500</v>
      </c>
      <c r="C7" s="37">
        <v>28.45</v>
      </c>
      <c r="D7" s="6">
        <v>1410</v>
      </c>
      <c r="E7" s="37">
        <v>19.28</v>
      </c>
      <c r="F7" s="38">
        <v>19</v>
      </c>
      <c r="G7" s="6">
        <v>23.64</v>
      </c>
      <c r="H7" s="54">
        <v>92</v>
      </c>
      <c r="I7" s="6">
        <v>738</v>
      </c>
      <c r="J7" s="37">
        <v>52.33</v>
      </c>
      <c r="K7" s="6">
        <v>1608</v>
      </c>
      <c r="L7" s="37">
        <v>13.5</v>
      </c>
      <c r="M7" s="6">
        <v>0.1</v>
      </c>
      <c r="N7" s="35">
        <v>1.921</v>
      </c>
      <c r="O7" s="45">
        <v>22.05</v>
      </c>
      <c r="P7" s="6">
        <v>2</v>
      </c>
      <c r="Q7" s="44">
        <v>117.2</v>
      </c>
      <c r="R7" s="37">
        <v>6.224</v>
      </c>
      <c r="S7" s="36">
        <v>1072</v>
      </c>
      <c r="T7" s="6">
        <v>1252</v>
      </c>
      <c r="U7" s="37">
        <v>36.59</v>
      </c>
      <c r="V7" s="6">
        <v>1337</v>
      </c>
      <c r="W7" s="37">
        <v>-28.37</v>
      </c>
      <c r="X7" s="6">
        <v>334</v>
      </c>
      <c r="Y7" s="35">
        <v>1.732</v>
      </c>
    </row>
    <row r="8" spans="1:25" ht="12.75">
      <c r="A8" s="6">
        <v>2019</v>
      </c>
      <c r="B8" s="53">
        <v>43501</v>
      </c>
      <c r="C8" s="6">
        <v>30.49</v>
      </c>
      <c r="D8" s="6">
        <v>1605</v>
      </c>
      <c r="E8" s="6">
        <v>17.62</v>
      </c>
      <c r="F8" s="6">
        <v>641</v>
      </c>
      <c r="G8" s="6">
        <v>23.72</v>
      </c>
      <c r="H8" s="54">
        <v>86.3</v>
      </c>
      <c r="I8" s="6">
        <v>106</v>
      </c>
      <c r="J8" s="48">
        <v>44.1</v>
      </c>
      <c r="K8" s="6">
        <v>1512</v>
      </c>
      <c r="L8" s="37">
        <v>70.5</v>
      </c>
      <c r="M8" s="6">
        <v>0</v>
      </c>
      <c r="N8" s="35">
        <v>2.441</v>
      </c>
      <c r="O8" s="45">
        <f>5.975*3.6</f>
        <v>21.509999999999998</v>
      </c>
      <c r="P8" s="6">
        <v>501</v>
      </c>
      <c r="Q8" s="44">
        <v>70.8</v>
      </c>
      <c r="R8" s="6">
        <v>9.18</v>
      </c>
      <c r="S8" s="36">
        <v>987</v>
      </c>
      <c r="T8" s="6">
        <v>1404</v>
      </c>
      <c r="U8" s="6">
        <v>52.35</v>
      </c>
      <c r="V8" s="6">
        <v>1525</v>
      </c>
      <c r="W8" s="6">
        <v>-42.42</v>
      </c>
      <c r="X8" s="6">
        <v>2339</v>
      </c>
      <c r="Y8" s="35">
        <v>2.441</v>
      </c>
    </row>
    <row r="9" spans="1:25" ht="12.75">
      <c r="A9" s="6">
        <v>2019</v>
      </c>
      <c r="B9" s="53">
        <v>43502</v>
      </c>
      <c r="C9" s="37">
        <v>28.98</v>
      </c>
      <c r="D9" s="6">
        <v>1632</v>
      </c>
      <c r="E9" s="6">
        <v>19.34</v>
      </c>
      <c r="F9" s="6">
        <v>2325</v>
      </c>
      <c r="G9" s="6">
        <v>22.56</v>
      </c>
      <c r="H9" s="54">
        <v>96.6</v>
      </c>
      <c r="I9" s="6">
        <v>841</v>
      </c>
      <c r="J9" s="37">
        <v>54.45</v>
      </c>
      <c r="K9" s="6">
        <v>1632</v>
      </c>
      <c r="L9" s="37">
        <v>83.2</v>
      </c>
      <c r="M9" s="6">
        <v>0.9</v>
      </c>
      <c r="N9" s="39">
        <v>1.701</v>
      </c>
      <c r="O9" s="47">
        <f>9.95*3.6</f>
        <v>35.82</v>
      </c>
      <c r="P9" s="6">
        <v>1808</v>
      </c>
      <c r="Q9" s="44">
        <v>208.2</v>
      </c>
      <c r="R9" s="37">
        <v>5.783</v>
      </c>
      <c r="S9" s="36">
        <v>1003</v>
      </c>
      <c r="T9" s="6">
        <v>1417</v>
      </c>
      <c r="U9" s="37">
        <v>36.39</v>
      </c>
      <c r="V9" s="6">
        <v>1506</v>
      </c>
      <c r="W9" s="6">
        <v>-41.92</v>
      </c>
      <c r="X9" s="6">
        <v>2022</v>
      </c>
      <c r="Y9" s="35">
        <v>1.3</v>
      </c>
    </row>
    <row r="10" spans="1:25" ht="12.75">
      <c r="A10" s="6">
        <v>2019</v>
      </c>
      <c r="B10" s="53">
        <v>43503</v>
      </c>
      <c r="C10" s="37">
        <v>30.5</v>
      </c>
      <c r="D10" s="6">
        <v>1737</v>
      </c>
      <c r="E10" s="37">
        <v>17.09</v>
      </c>
      <c r="F10" s="6">
        <v>710</v>
      </c>
      <c r="G10" s="6">
        <v>23.21</v>
      </c>
      <c r="H10" s="54">
        <v>97.4</v>
      </c>
      <c r="I10" s="6">
        <v>800</v>
      </c>
      <c r="J10" s="6">
        <v>46.36</v>
      </c>
      <c r="K10" s="6">
        <v>1747</v>
      </c>
      <c r="L10" s="37">
        <v>77.6</v>
      </c>
      <c r="M10" s="6">
        <v>0</v>
      </c>
      <c r="N10" s="35">
        <v>1.247</v>
      </c>
      <c r="O10" s="45">
        <f>5.225*3.6</f>
        <v>18.81</v>
      </c>
      <c r="P10" s="6">
        <v>1745</v>
      </c>
      <c r="Q10" s="36">
        <v>129.4</v>
      </c>
      <c r="R10" s="6">
        <v>8.84</v>
      </c>
      <c r="S10" s="36">
        <v>1005</v>
      </c>
      <c r="T10" s="6">
        <v>1341</v>
      </c>
      <c r="U10" s="37">
        <v>68.62</v>
      </c>
      <c r="V10" s="6">
        <v>1417</v>
      </c>
      <c r="W10" s="6">
        <v>-43.47</v>
      </c>
      <c r="X10" s="6">
        <v>2238</v>
      </c>
      <c r="Y10" s="35">
        <v>2.161</v>
      </c>
    </row>
    <row r="11" spans="1:25" ht="12.75">
      <c r="A11" s="6">
        <v>2019</v>
      </c>
      <c r="B11" s="53">
        <v>43504</v>
      </c>
      <c r="C11" s="37">
        <v>34.19</v>
      </c>
      <c r="D11" s="6">
        <v>1641</v>
      </c>
      <c r="E11" s="6">
        <v>18.22</v>
      </c>
      <c r="F11" s="6">
        <v>705</v>
      </c>
      <c r="G11" s="6">
        <v>25.81</v>
      </c>
      <c r="H11" s="54">
        <v>94.9</v>
      </c>
      <c r="I11" s="6">
        <v>714</v>
      </c>
      <c r="J11" s="37">
        <v>28.78</v>
      </c>
      <c r="K11" s="6">
        <v>1542</v>
      </c>
      <c r="L11" s="37">
        <v>63.24</v>
      </c>
      <c r="M11" s="38">
        <v>0</v>
      </c>
      <c r="N11" s="39">
        <v>1.435</v>
      </c>
      <c r="O11" s="45">
        <f>5.825*3.6</f>
        <v>20.970000000000002</v>
      </c>
      <c r="P11" s="6">
        <v>1612</v>
      </c>
      <c r="Q11" s="36">
        <v>179.5</v>
      </c>
      <c r="R11" s="6">
        <v>11.39</v>
      </c>
      <c r="S11" s="36">
        <v>946</v>
      </c>
      <c r="T11" s="6">
        <v>1411</v>
      </c>
      <c r="U11" s="37">
        <v>47.59</v>
      </c>
      <c r="V11" s="6">
        <v>1423</v>
      </c>
      <c r="W11" s="37">
        <v>-46.4</v>
      </c>
      <c r="X11" s="6">
        <v>2355</v>
      </c>
      <c r="Y11" s="35">
        <v>3.024</v>
      </c>
    </row>
    <row r="12" spans="1:25" ht="12.75">
      <c r="A12" s="6">
        <v>2019</v>
      </c>
      <c r="B12" s="53">
        <v>43505</v>
      </c>
      <c r="C12" s="37">
        <v>34.46</v>
      </c>
      <c r="D12" s="6">
        <v>1623</v>
      </c>
      <c r="E12" s="37">
        <v>18.88</v>
      </c>
      <c r="F12" s="6">
        <v>620</v>
      </c>
      <c r="G12" s="37">
        <v>26.78</v>
      </c>
      <c r="H12" s="54">
        <v>85.3</v>
      </c>
      <c r="I12" s="6">
        <v>619</v>
      </c>
      <c r="J12" s="6">
        <v>27.58</v>
      </c>
      <c r="K12" s="6">
        <v>1733</v>
      </c>
      <c r="L12" s="37">
        <v>56.47</v>
      </c>
      <c r="M12" s="6">
        <v>0</v>
      </c>
      <c r="N12" s="45">
        <v>1.585</v>
      </c>
      <c r="O12" s="39">
        <f>5.75*3.6</f>
        <v>20.7</v>
      </c>
      <c r="P12" s="38">
        <v>1157</v>
      </c>
      <c r="Q12" s="36">
        <v>42</v>
      </c>
      <c r="R12" s="37">
        <v>10.75</v>
      </c>
      <c r="S12" s="36">
        <v>1056</v>
      </c>
      <c r="T12" s="38">
        <v>1331</v>
      </c>
      <c r="U12" s="37">
        <v>65.3</v>
      </c>
      <c r="V12" s="6">
        <v>1432</v>
      </c>
      <c r="W12" s="37">
        <v>-46.53</v>
      </c>
      <c r="X12" s="6">
        <v>12</v>
      </c>
      <c r="Y12" s="35">
        <v>3.14</v>
      </c>
    </row>
    <row r="13" spans="1:25" ht="12.75">
      <c r="A13" s="6">
        <v>2019</v>
      </c>
      <c r="B13" s="53">
        <v>43506</v>
      </c>
      <c r="C13" s="37">
        <v>33.87</v>
      </c>
      <c r="D13" s="6">
        <v>1501</v>
      </c>
      <c r="E13" s="37">
        <v>21</v>
      </c>
      <c r="F13" s="6">
        <v>630</v>
      </c>
      <c r="G13" s="37">
        <v>26.65</v>
      </c>
      <c r="H13" s="37">
        <v>81.6</v>
      </c>
      <c r="I13" s="6">
        <v>249</v>
      </c>
      <c r="J13" s="6">
        <v>34.61</v>
      </c>
      <c r="K13" s="6">
        <v>1609</v>
      </c>
      <c r="L13" s="37">
        <v>63.34</v>
      </c>
      <c r="M13" s="38">
        <v>0</v>
      </c>
      <c r="N13" s="35">
        <v>1.332</v>
      </c>
      <c r="O13" s="45">
        <f>6.05*3.6</f>
        <v>21.78</v>
      </c>
      <c r="P13" s="6">
        <v>1138</v>
      </c>
      <c r="Q13" s="36">
        <v>34.01</v>
      </c>
      <c r="R13" s="37">
        <v>7.81</v>
      </c>
      <c r="S13" s="36">
        <v>923</v>
      </c>
      <c r="T13" s="6">
        <v>1358</v>
      </c>
      <c r="U13" s="37">
        <v>54.12</v>
      </c>
      <c r="V13" s="6">
        <v>1500</v>
      </c>
      <c r="W13" s="37">
        <v>-45.38</v>
      </c>
      <c r="X13" s="6">
        <v>314</v>
      </c>
      <c r="Y13" s="35">
        <v>2.428</v>
      </c>
    </row>
    <row r="14" spans="1:26" ht="12.75">
      <c r="A14" s="6">
        <v>2019</v>
      </c>
      <c r="B14" s="53">
        <v>43507</v>
      </c>
      <c r="C14" s="6">
        <v>32.21</v>
      </c>
      <c r="D14" s="6">
        <v>1550</v>
      </c>
      <c r="E14" s="6">
        <v>21.12</v>
      </c>
      <c r="F14" s="6">
        <v>655</v>
      </c>
      <c r="G14" s="37">
        <v>26.58</v>
      </c>
      <c r="H14" s="54">
        <v>94</v>
      </c>
      <c r="I14" s="6">
        <v>645</v>
      </c>
      <c r="J14" s="37">
        <v>42.51</v>
      </c>
      <c r="K14" s="6">
        <v>1831</v>
      </c>
      <c r="L14" s="37">
        <v>69.06</v>
      </c>
      <c r="M14" s="38">
        <v>0</v>
      </c>
      <c r="N14" s="6">
        <v>1.606</v>
      </c>
      <c r="O14" s="47">
        <f>6.425*3.6</f>
        <v>23.13</v>
      </c>
      <c r="P14" s="6">
        <v>1050</v>
      </c>
      <c r="Q14" s="44">
        <v>312.4</v>
      </c>
      <c r="R14" s="6">
        <v>8.52</v>
      </c>
      <c r="S14" s="36">
        <v>922</v>
      </c>
      <c r="T14" s="6">
        <v>1256</v>
      </c>
      <c r="U14" s="37">
        <v>40.32</v>
      </c>
      <c r="V14" s="6">
        <v>1356</v>
      </c>
      <c r="W14" s="37">
        <v>-40.93</v>
      </c>
      <c r="X14" s="6">
        <v>109</v>
      </c>
      <c r="Y14" s="35">
        <v>2.546</v>
      </c>
      <c r="Z14" s="13"/>
    </row>
    <row r="15" spans="1:25" ht="12.75">
      <c r="A15" s="6">
        <v>2019</v>
      </c>
      <c r="B15" s="53">
        <v>43508</v>
      </c>
      <c r="C15" s="6">
        <v>28.84</v>
      </c>
      <c r="D15" s="6">
        <v>1446</v>
      </c>
      <c r="E15" s="6">
        <v>20.32</v>
      </c>
      <c r="F15" s="6">
        <v>824</v>
      </c>
      <c r="G15" s="37">
        <v>23.04</v>
      </c>
      <c r="H15" s="54">
        <v>97.8</v>
      </c>
      <c r="I15" s="6">
        <v>2344</v>
      </c>
      <c r="J15" s="37">
        <v>62.81</v>
      </c>
      <c r="K15" s="6">
        <v>1452</v>
      </c>
      <c r="L15" s="37">
        <v>87.1</v>
      </c>
      <c r="M15" s="36">
        <v>35.3</v>
      </c>
      <c r="N15" s="6">
        <v>1.628</v>
      </c>
      <c r="O15" s="47">
        <f>7.17*3.6</f>
        <v>25.812</v>
      </c>
      <c r="P15" s="6">
        <v>753</v>
      </c>
      <c r="Q15" s="44">
        <v>163.1</v>
      </c>
      <c r="R15" s="37">
        <v>4.864</v>
      </c>
      <c r="S15" s="36">
        <v>927</v>
      </c>
      <c r="T15" s="6">
        <v>1450</v>
      </c>
      <c r="U15" s="37">
        <v>52.46</v>
      </c>
      <c r="V15" s="6">
        <v>1348</v>
      </c>
      <c r="W15" s="37">
        <v>-145.8</v>
      </c>
      <c r="X15" s="6">
        <v>800</v>
      </c>
      <c r="Y15" s="35">
        <v>1.071</v>
      </c>
    </row>
    <row r="16" spans="1:25" ht="12.75">
      <c r="A16" s="6">
        <v>2019</v>
      </c>
      <c r="B16" s="53">
        <v>43509</v>
      </c>
      <c r="C16" s="37">
        <v>26.4</v>
      </c>
      <c r="D16" s="6">
        <v>1806</v>
      </c>
      <c r="E16" s="6">
        <v>20.53</v>
      </c>
      <c r="F16" s="6">
        <v>643</v>
      </c>
      <c r="G16" s="37">
        <v>22.81</v>
      </c>
      <c r="H16" s="54">
        <v>98.2</v>
      </c>
      <c r="I16" s="6">
        <v>304</v>
      </c>
      <c r="J16" s="48">
        <v>68.39</v>
      </c>
      <c r="K16" s="6">
        <v>1805</v>
      </c>
      <c r="L16" s="37">
        <v>87.4</v>
      </c>
      <c r="M16" s="6">
        <v>0.2</v>
      </c>
      <c r="N16" s="35">
        <v>1.827</v>
      </c>
      <c r="O16" s="39">
        <f>6.575*3.6</f>
        <v>23.67</v>
      </c>
      <c r="P16" s="56">
        <v>2227</v>
      </c>
      <c r="Q16" s="6">
        <v>116.9</v>
      </c>
      <c r="R16" s="37">
        <v>3.964</v>
      </c>
      <c r="S16" s="36">
        <v>373.6</v>
      </c>
      <c r="T16" s="6">
        <v>1745</v>
      </c>
      <c r="U16" s="6">
        <v>17.91</v>
      </c>
      <c r="V16" s="6">
        <v>1530</v>
      </c>
      <c r="W16" s="6">
        <v>-18.32</v>
      </c>
      <c r="X16" s="6">
        <v>2359</v>
      </c>
      <c r="Y16" s="35">
        <v>0.958</v>
      </c>
    </row>
    <row r="17" spans="1:25" ht="12.75">
      <c r="A17" s="6">
        <v>2019</v>
      </c>
      <c r="B17" s="53">
        <v>43510</v>
      </c>
      <c r="C17" s="37">
        <v>29.91</v>
      </c>
      <c r="D17" s="6">
        <v>1434</v>
      </c>
      <c r="E17" s="6">
        <v>18.48</v>
      </c>
      <c r="F17" s="6">
        <v>709</v>
      </c>
      <c r="G17" s="37">
        <v>23.08</v>
      </c>
      <c r="H17" s="54">
        <v>96.2</v>
      </c>
      <c r="I17" s="6">
        <v>0</v>
      </c>
      <c r="J17" s="37">
        <v>55.71</v>
      </c>
      <c r="K17" s="6">
        <v>1437</v>
      </c>
      <c r="L17" s="37">
        <v>82</v>
      </c>
      <c r="M17" s="6">
        <v>0.5</v>
      </c>
      <c r="N17" s="6">
        <v>2.296</v>
      </c>
      <c r="O17" s="46">
        <f>7.17*3.6</f>
        <v>25.812</v>
      </c>
      <c r="P17" s="38">
        <v>1513</v>
      </c>
      <c r="Q17" s="44">
        <v>152.4</v>
      </c>
      <c r="R17" s="37">
        <v>7.53</v>
      </c>
      <c r="S17" s="36">
        <v>1102</v>
      </c>
      <c r="T17" s="6">
        <v>1407</v>
      </c>
      <c r="U17" s="37">
        <v>54.08</v>
      </c>
      <c r="V17" s="6">
        <v>1420</v>
      </c>
      <c r="W17" s="37">
        <v>-32.7</v>
      </c>
      <c r="X17" s="6">
        <v>2036</v>
      </c>
      <c r="Y17" s="35">
        <v>1.751</v>
      </c>
    </row>
    <row r="18" spans="1:25" ht="12.75">
      <c r="A18" s="6">
        <v>2019</v>
      </c>
      <c r="B18" s="53">
        <v>43511</v>
      </c>
      <c r="C18" s="37">
        <v>27.2</v>
      </c>
      <c r="D18" s="6">
        <v>1528</v>
      </c>
      <c r="E18" s="37">
        <v>20.13</v>
      </c>
      <c r="F18" s="6">
        <v>136</v>
      </c>
      <c r="G18" s="37">
        <v>22.73</v>
      </c>
      <c r="H18" s="37">
        <v>97.8</v>
      </c>
      <c r="I18" s="6">
        <v>802</v>
      </c>
      <c r="J18" s="6">
        <v>62.62</v>
      </c>
      <c r="K18" s="6">
        <v>1529</v>
      </c>
      <c r="L18" s="37">
        <v>87.4</v>
      </c>
      <c r="M18" s="44">
        <v>19.1</v>
      </c>
      <c r="N18" s="39">
        <v>1.681</v>
      </c>
      <c r="O18" s="45">
        <f>6.5*3.6</f>
        <v>23.400000000000002</v>
      </c>
      <c r="P18" s="6">
        <v>1429</v>
      </c>
      <c r="Q18" s="36">
        <v>291.4</v>
      </c>
      <c r="R18" s="37">
        <v>5.459</v>
      </c>
      <c r="S18" s="36">
        <v>1134</v>
      </c>
      <c r="T18" s="6">
        <v>1450</v>
      </c>
      <c r="U18" s="6">
        <v>32.65</v>
      </c>
      <c r="V18" s="6">
        <v>1518</v>
      </c>
      <c r="W18" s="36">
        <v>-104</v>
      </c>
      <c r="X18" s="6">
        <v>2219</v>
      </c>
      <c r="Y18" s="6">
        <v>1.234</v>
      </c>
    </row>
    <row r="19" spans="1:25" ht="12.75">
      <c r="A19" s="6">
        <v>2019</v>
      </c>
      <c r="B19" s="53">
        <v>43512</v>
      </c>
      <c r="C19" s="6">
        <v>21.98</v>
      </c>
      <c r="D19" s="6">
        <v>0</v>
      </c>
      <c r="E19" s="37">
        <v>20</v>
      </c>
      <c r="F19" s="6">
        <v>2129</v>
      </c>
      <c r="G19" s="37">
        <v>20.65</v>
      </c>
      <c r="H19" s="37">
        <v>98.4</v>
      </c>
      <c r="I19" s="6">
        <v>1213</v>
      </c>
      <c r="J19" s="37">
        <v>94.3</v>
      </c>
      <c r="K19" s="6">
        <v>1417</v>
      </c>
      <c r="L19" s="37">
        <v>97.8</v>
      </c>
      <c r="M19" s="6">
        <v>112.3</v>
      </c>
      <c r="N19" s="39">
        <v>0.513</v>
      </c>
      <c r="O19" s="45">
        <f>4.775*3.6</f>
        <v>17.19</v>
      </c>
      <c r="P19" s="6">
        <v>153</v>
      </c>
      <c r="Q19" s="36">
        <v>209.7</v>
      </c>
      <c r="R19" s="37">
        <v>1.671</v>
      </c>
      <c r="S19" s="36">
        <v>89.4</v>
      </c>
      <c r="T19" s="6">
        <v>1239</v>
      </c>
      <c r="U19" s="37">
        <v>7.27</v>
      </c>
      <c r="V19" s="6">
        <v>1428</v>
      </c>
      <c r="W19" s="6">
        <v>-65.08</v>
      </c>
      <c r="X19" s="6">
        <v>214</v>
      </c>
      <c r="Y19" s="39">
        <v>0.208</v>
      </c>
    </row>
    <row r="20" spans="1:25" ht="12.75">
      <c r="A20" s="6">
        <v>2019</v>
      </c>
      <c r="B20" s="53">
        <v>43513</v>
      </c>
      <c r="C20" s="37">
        <v>26.99</v>
      </c>
      <c r="D20" s="6">
        <v>1603</v>
      </c>
      <c r="E20" s="6">
        <v>19.27</v>
      </c>
      <c r="F20" s="6">
        <v>620</v>
      </c>
      <c r="G20" s="37">
        <v>22.3</v>
      </c>
      <c r="H20" s="37">
        <v>98.6</v>
      </c>
      <c r="I20" s="6">
        <v>752</v>
      </c>
      <c r="J20" s="37">
        <v>59.03</v>
      </c>
      <c r="K20" s="6">
        <v>1649</v>
      </c>
      <c r="L20" s="37">
        <v>85.9</v>
      </c>
      <c r="M20" s="6">
        <v>0.6</v>
      </c>
      <c r="N20" s="39">
        <v>0.408</v>
      </c>
      <c r="O20" s="47">
        <f>3.65*3.6</f>
        <v>13.14</v>
      </c>
      <c r="P20" s="6">
        <v>1047</v>
      </c>
      <c r="Q20" s="6">
        <v>304.7</v>
      </c>
      <c r="R20" s="37">
        <v>6.802</v>
      </c>
      <c r="S20" s="36">
        <v>1115</v>
      </c>
      <c r="T20" s="6">
        <v>1254</v>
      </c>
      <c r="U20" s="37">
        <v>47.48</v>
      </c>
      <c r="V20" s="6">
        <v>1333</v>
      </c>
      <c r="W20" s="6">
        <v>-12.36</v>
      </c>
      <c r="X20" s="6">
        <v>49</v>
      </c>
      <c r="Y20" s="6">
        <v>1.279</v>
      </c>
    </row>
    <row r="21" spans="1:25" ht="12.75">
      <c r="A21" s="6">
        <v>2019</v>
      </c>
      <c r="B21" s="53">
        <v>43514</v>
      </c>
      <c r="C21" s="37">
        <v>27.92</v>
      </c>
      <c r="D21" s="6">
        <v>1525</v>
      </c>
      <c r="E21" s="37">
        <v>18.7</v>
      </c>
      <c r="F21" s="6">
        <v>1642</v>
      </c>
      <c r="G21" s="37">
        <v>22.32</v>
      </c>
      <c r="H21" s="37">
        <v>95.9</v>
      </c>
      <c r="I21" s="6">
        <v>727</v>
      </c>
      <c r="J21" s="37">
        <v>58.37</v>
      </c>
      <c r="K21" s="6">
        <v>1424</v>
      </c>
      <c r="L21" s="37">
        <v>83.9</v>
      </c>
      <c r="M21" s="6">
        <v>23.1</v>
      </c>
      <c r="N21" s="35">
        <v>1.009</v>
      </c>
      <c r="O21" s="45">
        <f>11.67*3.6</f>
        <v>42.012</v>
      </c>
      <c r="P21" s="6">
        <v>1629</v>
      </c>
      <c r="Q21" s="36">
        <v>212.8</v>
      </c>
      <c r="R21" s="6">
        <v>7.14</v>
      </c>
      <c r="S21" s="36">
        <v>1066</v>
      </c>
      <c r="T21" s="6">
        <v>1433</v>
      </c>
      <c r="U21" s="37">
        <v>53.86</v>
      </c>
      <c r="V21" s="6">
        <v>1443</v>
      </c>
      <c r="W21" s="37">
        <v>-134.7</v>
      </c>
      <c r="X21" s="6">
        <v>1644</v>
      </c>
      <c r="Y21" s="35">
        <v>1.487</v>
      </c>
    </row>
    <row r="22" spans="1:25" ht="12.75">
      <c r="A22" s="6">
        <v>2019</v>
      </c>
      <c r="B22" s="53">
        <v>43515</v>
      </c>
      <c r="C22" s="37">
        <v>30.17</v>
      </c>
      <c r="D22" s="6">
        <v>1516</v>
      </c>
      <c r="E22" s="37">
        <v>19.14</v>
      </c>
      <c r="F22" s="6">
        <v>659</v>
      </c>
      <c r="G22" s="37">
        <v>23.52</v>
      </c>
      <c r="H22" s="37">
        <v>94.9</v>
      </c>
      <c r="I22" s="6">
        <v>818</v>
      </c>
      <c r="J22" s="37">
        <v>44.3</v>
      </c>
      <c r="K22" s="6">
        <v>1517</v>
      </c>
      <c r="L22" s="37">
        <v>77</v>
      </c>
      <c r="M22" s="36">
        <v>0</v>
      </c>
      <c r="N22" s="35">
        <v>1.353</v>
      </c>
      <c r="O22" s="47">
        <f>6.575*3.6</f>
        <v>23.67</v>
      </c>
      <c r="P22" s="6">
        <v>2015</v>
      </c>
      <c r="Q22" s="36">
        <v>206</v>
      </c>
      <c r="R22" s="6">
        <v>10.17</v>
      </c>
      <c r="S22" s="36">
        <v>1031</v>
      </c>
      <c r="T22" s="6">
        <v>1308</v>
      </c>
      <c r="U22" s="37">
        <v>57.43</v>
      </c>
      <c r="V22" s="6">
        <v>1341</v>
      </c>
      <c r="W22" s="6">
        <v>-28.81</v>
      </c>
      <c r="X22" s="6">
        <v>1915</v>
      </c>
      <c r="Y22" s="35">
        <v>2.356</v>
      </c>
    </row>
    <row r="23" spans="1:25" ht="12.75">
      <c r="A23" s="6">
        <v>2019</v>
      </c>
      <c r="B23" s="53">
        <v>43516</v>
      </c>
      <c r="C23" s="37">
        <v>29.11</v>
      </c>
      <c r="D23" s="6">
        <v>1441</v>
      </c>
      <c r="E23" s="37">
        <v>19.87</v>
      </c>
      <c r="F23" s="6">
        <v>608</v>
      </c>
      <c r="G23" s="37">
        <v>23.2</v>
      </c>
      <c r="H23" s="37">
        <v>92.5</v>
      </c>
      <c r="I23" s="6">
        <v>353</v>
      </c>
      <c r="J23" s="37">
        <v>44.57</v>
      </c>
      <c r="K23" s="6">
        <v>1441</v>
      </c>
      <c r="L23" s="37">
        <v>77.7</v>
      </c>
      <c r="M23" s="36">
        <v>4.2</v>
      </c>
      <c r="N23" s="35">
        <v>1.937</v>
      </c>
      <c r="O23" s="45">
        <f>7.25*3.6</f>
        <v>26.1</v>
      </c>
      <c r="P23" s="6">
        <v>1747</v>
      </c>
      <c r="Q23" s="36">
        <v>46.62</v>
      </c>
      <c r="R23" s="6">
        <v>9.59</v>
      </c>
      <c r="S23" s="36">
        <v>1136</v>
      </c>
      <c r="T23" s="6">
        <v>1149</v>
      </c>
      <c r="U23" s="37">
        <v>43.83</v>
      </c>
      <c r="V23" s="6">
        <v>1203</v>
      </c>
      <c r="W23" s="6">
        <v>-38.93</v>
      </c>
      <c r="X23" s="6">
        <v>2010</v>
      </c>
      <c r="Y23" s="35">
        <v>2.413</v>
      </c>
    </row>
    <row r="24" spans="1:25" ht="12.75">
      <c r="A24" s="6">
        <v>2019</v>
      </c>
      <c r="B24" s="53">
        <v>43517</v>
      </c>
      <c r="C24" s="37">
        <v>28.98</v>
      </c>
      <c r="D24" s="6">
        <v>1716</v>
      </c>
      <c r="E24" s="37">
        <v>19.19</v>
      </c>
      <c r="F24" s="6">
        <v>1941</v>
      </c>
      <c r="G24" s="37">
        <v>22.47</v>
      </c>
      <c r="H24" s="37">
        <v>92.3</v>
      </c>
      <c r="I24" s="6">
        <v>210</v>
      </c>
      <c r="J24" s="42">
        <v>55.84</v>
      </c>
      <c r="K24" s="6">
        <v>1651</v>
      </c>
      <c r="L24" s="37">
        <v>82.2</v>
      </c>
      <c r="M24" s="6">
        <v>29.2</v>
      </c>
      <c r="N24" s="39">
        <v>1.34</v>
      </c>
      <c r="O24" s="45">
        <f>8.9*3.6</f>
        <v>32.04</v>
      </c>
      <c r="P24" s="6">
        <v>1925</v>
      </c>
      <c r="Q24" s="36">
        <v>311.7</v>
      </c>
      <c r="R24" s="6">
        <v>8.05</v>
      </c>
      <c r="S24" s="36">
        <v>945</v>
      </c>
      <c r="T24" s="6">
        <v>1353</v>
      </c>
      <c r="U24" s="6">
        <v>51.71</v>
      </c>
      <c r="V24" s="6">
        <v>1409</v>
      </c>
      <c r="W24" s="37">
        <v>-60.06</v>
      </c>
      <c r="X24" s="6">
        <v>1954</v>
      </c>
      <c r="Y24" s="35">
        <v>1.747</v>
      </c>
    </row>
    <row r="25" spans="1:25" ht="12.75">
      <c r="A25" s="6">
        <v>2019</v>
      </c>
      <c r="B25" s="53">
        <v>43518</v>
      </c>
      <c r="C25" s="37">
        <v>31.03</v>
      </c>
      <c r="D25" s="6">
        <v>1452</v>
      </c>
      <c r="E25" s="37">
        <v>19.87</v>
      </c>
      <c r="F25" s="6">
        <v>19</v>
      </c>
      <c r="G25" s="37">
        <v>22.67</v>
      </c>
      <c r="H25" s="37">
        <v>91.9</v>
      </c>
      <c r="I25" s="6">
        <v>646</v>
      </c>
      <c r="J25" s="42">
        <v>47.62</v>
      </c>
      <c r="K25" s="6">
        <v>1420</v>
      </c>
      <c r="L25" s="37">
        <v>82.6</v>
      </c>
      <c r="M25" s="6">
        <v>7.7</v>
      </c>
      <c r="N25" s="6">
        <v>1.672</v>
      </c>
      <c r="O25" s="47">
        <f>7.17*3.6</f>
        <v>25.812</v>
      </c>
      <c r="P25" s="6">
        <v>1539</v>
      </c>
      <c r="Q25" s="36">
        <v>57.07</v>
      </c>
      <c r="R25" s="37">
        <v>7.53</v>
      </c>
      <c r="S25" s="36">
        <v>1022</v>
      </c>
      <c r="T25" s="6">
        <v>1246</v>
      </c>
      <c r="U25" s="37">
        <v>52.81</v>
      </c>
      <c r="V25" s="6">
        <v>1336</v>
      </c>
      <c r="W25" s="6">
        <v>-38.65</v>
      </c>
      <c r="X25" s="6">
        <v>1631</v>
      </c>
      <c r="Y25" s="35">
        <v>1.728</v>
      </c>
    </row>
    <row r="26" spans="1:26" ht="12.75">
      <c r="A26" s="6">
        <v>2019</v>
      </c>
      <c r="B26" s="53">
        <v>43519</v>
      </c>
      <c r="C26" s="37">
        <v>31.36</v>
      </c>
      <c r="D26" s="6">
        <v>1348</v>
      </c>
      <c r="E26" s="37">
        <v>19.54</v>
      </c>
      <c r="F26" s="6">
        <v>502</v>
      </c>
      <c r="G26" s="37">
        <v>25.26</v>
      </c>
      <c r="H26" s="37">
        <v>90.6</v>
      </c>
      <c r="I26" s="6">
        <v>2359</v>
      </c>
      <c r="J26" s="6">
        <v>41.78</v>
      </c>
      <c r="K26" s="6">
        <v>1539</v>
      </c>
      <c r="L26" s="37">
        <v>71.6</v>
      </c>
      <c r="M26" s="6">
        <v>0</v>
      </c>
      <c r="N26" s="39">
        <v>0.872</v>
      </c>
      <c r="O26" s="47">
        <f>5.6*3.6</f>
        <v>20.16</v>
      </c>
      <c r="P26" s="6">
        <v>1205</v>
      </c>
      <c r="Q26" s="6">
        <v>302.5</v>
      </c>
      <c r="R26" s="37">
        <v>10.56</v>
      </c>
      <c r="S26" s="36">
        <v>840</v>
      </c>
      <c r="T26" s="6">
        <v>1144</v>
      </c>
      <c r="U26" s="6">
        <v>57.03</v>
      </c>
      <c r="V26" s="6">
        <v>1143</v>
      </c>
      <c r="W26" s="6">
        <v>-20.29</v>
      </c>
      <c r="X26" s="6">
        <v>607</v>
      </c>
      <c r="Y26" s="35">
        <v>2.474</v>
      </c>
      <c r="Z26" s="32"/>
    </row>
    <row r="27" spans="1:25" ht="12.75">
      <c r="A27" s="6">
        <v>2019</v>
      </c>
      <c r="B27" s="53">
        <v>43520</v>
      </c>
      <c r="C27" s="37">
        <v>33.87</v>
      </c>
      <c r="D27" s="6">
        <v>1504</v>
      </c>
      <c r="E27" s="37">
        <v>21.13</v>
      </c>
      <c r="F27" s="6">
        <v>614</v>
      </c>
      <c r="G27" s="37">
        <v>25.79</v>
      </c>
      <c r="H27" s="37">
        <v>97.4</v>
      </c>
      <c r="I27" s="6">
        <v>639</v>
      </c>
      <c r="J27" s="37">
        <v>32.42</v>
      </c>
      <c r="K27" s="6">
        <v>1500</v>
      </c>
      <c r="L27" s="37">
        <v>17.3</v>
      </c>
      <c r="M27" s="6">
        <v>2.1</v>
      </c>
      <c r="N27" s="39">
        <v>1.351</v>
      </c>
      <c r="O27" s="47">
        <f>6.425*3.6</f>
        <v>23.13</v>
      </c>
      <c r="P27" s="6">
        <v>1403</v>
      </c>
      <c r="Q27" s="44">
        <v>267.8</v>
      </c>
      <c r="R27" s="37">
        <v>11.89</v>
      </c>
      <c r="S27" s="36">
        <v>1082</v>
      </c>
      <c r="T27" s="6">
        <v>1252</v>
      </c>
      <c r="U27" s="37">
        <v>56.47</v>
      </c>
      <c r="V27" s="6">
        <v>1147</v>
      </c>
      <c r="W27" s="6">
        <v>-17.74</v>
      </c>
      <c r="X27" s="6">
        <v>2256</v>
      </c>
      <c r="Y27" s="35">
        <v>3.102</v>
      </c>
    </row>
    <row r="28" spans="1:25" ht="12.75">
      <c r="A28" s="6">
        <v>2019</v>
      </c>
      <c r="B28" s="53">
        <v>43521</v>
      </c>
      <c r="C28" s="37">
        <v>32.94</v>
      </c>
      <c r="D28" s="6">
        <v>1623</v>
      </c>
      <c r="E28" s="37">
        <v>19.74</v>
      </c>
      <c r="F28" s="6">
        <v>617</v>
      </c>
      <c r="G28" s="37">
        <v>25.07</v>
      </c>
      <c r="H28" s="37">
        <v>91.2</v>
      </c>
      <c r="I28" s="6">
        <v>2304</v>
      </c>
      <c r="J28" s="6">
        <v>39.26</v>
      </c>
      <c r="K28" s="6">
        <v>1528</v>
      </c>
      <c r="L28" s="37">
        <v>70.5</v>
      </c>
      <c r="M28" s="6">
        <v>0</v>
      </c>
      <c r="N28" s="6">
        <v>1.249</v>
      </c>
      <c r="O28" s="45">
        <f>7.32*3.6</f>
        <v>26.352</v>
      </c>
      <c r="P28" s="6">
        <v>1826</v>
      </c>
      <c r="Q28" s="36">
        <v>202.7</v>
      </c>
      <c r="R28" s="37">
        <v>10.49</v>
      </c>
      <c r="S28" s="36">
        <v>890</v>
      </c>
      <c r="T28" s="6">
        <v>1221</v>
      </c>
      <c r="U28" s="37">
        <v>60.66</v>
      </c>
      <c r="V28" s="6">
        <v>1333</v>
      </c>
      <c r="W28" s="6">
        <v>-21.05</v>
      </c>
      <c r="X28" s="6">
        <v>340</v>
      </c>
      <c r="Y28" s="6">
        <v>2.636</v>
      </c>
    </row>
    <row r="29" spans="1:25" ht="12.75">
      <c r="A29" s="6">
        <v>2019</v>
      </c>
      <c r="B29" s="53">
        <v>43522</v>
      </c>
      <c r="C29" s="37">
        <v>28.98</v>
      </c>
      <c r="D29" s="6">
        <v>1515</v>
      </c>
      <c r="E29" s="37">
        <v>18.75</v>
      </c>
      <c r="F29" s="6">
        <v>2351</v>
      </c>
      <c r="G29" s="37">
        <v>22.85</v>
      </c>
      <c r="H29" s="37">
        <v>98.3</v>
      </c>
      <c r="I29" s="6">
        <v>2331</v>
      </c>
      <c r="J29" s="37">
        <v>58.3</v>
      </c>
      <c r="K29" s="6">
        <v>1625</v>
      </c>
      <c r="L29" s="37">
        <v>84.4</v>
      </c>
      <c r="M29" s="6">
        <v>22.9</v>
      </c>
      <c r="N29" s="35">
        <v>1.515</v>
      </c>
      <c r="O29" s="45">
        <f>9.2*3.6</f>
        <v>33.12</v>
      </c>
      <c r="P29" s="6">
        <v>1913</v>
      </c>
      <c r="Q29" s="36">
        <v>258.8</v>
      </c>
      <c r="R29" s="37">
        <v>8.2</v>
      </c>
      <c r="S29" s="36">
        <v>919</v>
      </c>
      <c r="T29" s="6">
        <v>1159</v>
      </c>
      <c r="U29" s="37">
        <v>42.36</v>
      </c>
      <c r="V29" s="38">
        <v>1453</v>
      </c>
      <c r="W29" s="37">
        <v>-120.3</v>
      </c>
      <c r="X29" s="6">
        <v>1935</v>
      </c>
      <c r="Y29" s="35">
        <v>1.828</v>
      </c>
    </row>
    <row r="30" spans="1:25" ht="12.75">
      <c r="A30" s="6">
        <v>2019</v>
      </c>
      <c r="B30" s="53">
        <v>43523</v>
      </c>
      <c r="C30" s="37">
        <v>29.64</v>
      </c>
      <c r="D30" s="6">
        <v>1521</v>
      </c>
      <c r="E30" s="37">
        <v>18.81</v>
      </c>
      <c r="F30" s="6">
        <v>6</v>
      </c>
      <c r="G30" s="37">
        <v>22.81</v>
      </c>
      <c r="H30" s="37">
        <v>98.6</v>
      </c>
      <c r="I30" s="6">
        <v>208</v>
      </c>
      <c r="J30" s="37">
        <v>50.47</v>
      </c>
      <c r="K30" s="6">
        <v>1701</v>
      </c>
      <c r="L30" s="37">
        <v>83.4</v>
      </c>
      <c r="M30" s="36">
        <v>18</v>
      </c>
      <c r="N30" s="35">
        <v>1.666</v>
      </c>
      <c r="O30" s="45">
        <f>6.2*3.6</f>
        <v>22.32</v>
      </c>
      <c r="P30" s="6">
        <v>1359</v>
      </c>
      <c r="Q30" s="6">
        <v>287.5</v>
      </c>
      <c r="R30" s="6">
        <v>9.42</v>
      </c>
      <c r="S30" s="36">
        <v>1018</v>
      </c>
      <c r="T30" s="6">
        <v>1329</v>
      </c>
      <c r="U30" s="37">
        <v>36.62</v>
      </c>
      <c r="V30" s="38">
        <v>1119</v>
      </c>
      <c r="W30" s="6">
        <v>-67.95</v>
      </c>
      <c r="X30" s="6">
        <v>1911</v>
      </c>
      <c r="Y30" s="35">
        <v>2.178</v>
      </c>
    </row>
    <row r="31" spans="1:25" ht="12.75">
      <c r="A31" s="6">
        <v>2019</v>
      </c>
      <c r="B31" s="53">
        <v>43524</v>
      </c>
      <c r="C31" s="37">
        <v>25.42</v>
      </c>
      <c r="D31" s="6">
        <v>1614</v>
      </c>
      <c r="E31" s="37">
        <v>20.2</v>
      </c>
      <c r="F31" s="6">
        <v>200</v>
      </c>
      <c r="G31" s="37">
        <v>22.32</v>
      </c>
      <c r="H31" s="37">
        <v>93.7</v>
      </c>
      <c r="I31" s="6">
        <v>748</v>
      </c>
      <c r="J31" s="6">
        <v>67.14</v>
      </c>
      <c r="K31" s="6">
        <v>1554</v>
      </c>
      <c r="L31" s="37">
        <v>84.6</v>
      </c>
      <c r="M31" s="6">
        <v>5.8</v>
      </c>
      <c r="N31" s="35">
        <v>1.292</v>
      </c>
      <c r="O31" s="45">
        <f>6.05*3.6</f>
        <v>21.78</v>
      </c>
      <c r="P31" s="6">
        <v>1101</v>
      </c>
      <c r="Q31" s="6">
        <v>318.4</v>
      </c>
      <c r="R31" s="37">
        <v>6.461</v>
      </c>
      <c r="S31" s="36">
        <v>703</v>
      </c>
      <c r="T31" s="6">
        <v>1251</v>
      </c>
      <c r="U31" s="37">
        <v>25.63</v>
      </c>
      <c r="V31" s="38">
        <v>1324</v>
      </c>
      <c r="W31" s="6">
        <v>-29.01</v>
      </c>
      <c r="X31" s="6">
        <v>1828</v>
      </c>
      <c r="Y31" s="35">
        <v>1.386</v>
      </c>
    </row>
    <row r="32" spans="3:25" ht="12.75">
      <c r="C32" s="40">
        <f>AVERAGE(C4:C31)</f>
        <v>30.461178571428565</v>
      </c>
      <c r="D32" s="33"/>
      <c r="E32" s="40">
        <f>AVERAGE(E4:E31)</f>
        <v>19.6025</v>
      </c>
      <c r="F32" s="33"/>
      <c r="G32" s="40">
        <f>AVERAGE(G4:G31)</f>
        <v>24.08178571428571</v>
      </c>
      <c r="H32" s="40">
        <f>AVERAGE(H4:H31)</f>
        <v>93.48928571428573</v>
      </c>
      <c r="I32" s="33"/>
      <c r="J32" s="40">
        <f>AVERAGE(J4:J31)</f>
        <v>48.480714285714285</v>
      </c>
      <c r="K32" s="33"/>
      <c r="L32" s="40">
        <f>AVERAGE(L4:L31)</f>
        <v>72.14964285714287</v>
      </c>
      <c r="M32" s="41">
        <f>SUM(M4:M31)</f>
        <v>285.99999999999994</v>
      </c>
      <c r="N32" s="33"/>
      <c r="O32" s="33"/>
      <c r="Y32" s="14">
        <f>SUM(Y4:Y31)</f>
        <v>57.377</v>
      </c>
    </row>
  </sheetData>
  <sheetProtection/>
  <mergeCells count="3">
    <mergeCell ref="A1:B1"/>
    <mergeCell ref="A2:A3"/>
    <mergeCell ref="B2:B3"/>
  </mergeCells>
  <printOptions horizontalCentered="1"/>
  <pageMargins left="0.3937007874015748" right="0.3937007874015748" top="0.984251968503937" bottom="0.5905511811023623" header="0.5118110236220472" footer="0.5118110236220472"/>
  <pageSetup horizontalDpi="300" verticalDpi="300" orientation="landscape" paperSize="9" scale="65" r:id="rId1"/>
  <headerFooter alignWithMargins="0">
    <oddHeader>&amp;C&amp;"Arial,Negrito"POSTO METEOROLÓGICO - ESTAÇÃO EXPERIMENTAL DE CITRICULTURA DE BEBEDOURO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Z34"/>
  <sheetViews>
    <sheetView view="pageBreakPreview" zoomScale="75" zoomScaleSheetLayoutView="75" zoomScalePageLayoutView="0" workbookViewId="0" topLeftCell="B1">
      <selection activeCell="P34" sqref="P34"/>
    </sheetView>
  </sheetViews>
  <sheetFormatPr defaultColWidth="9.140625" defaultRowHeight="12.75"/>
  <cols>
    <col min="1" max="1" width="7.140625" style="0" customWidth="1"/>
    <col min="2" max="2" width="8.28125" style="0" customWidth="1"/>
    <col min="3" max="3" width="9.7109375" style="0" customWidth="1"/>
    <col min="6" max="6" width="8.28125" style="0" customWidth="1"/>
    <col min="7" max="7" width="9.7109375" style="0" customWidth="1"/>
    <col min="9" max="9" width="7.28125" style="0" customWidth="1"/>
    <col min="11" max="11" width="7.140625" style="0" customWidth="1"/>
    <col min="13" max="13" width="7.28125" style="0" customWidth="1"/>
    <col min="15" max="15" width="8.8515625" style="0" customWidth="1"/>
    <col min="16" max="16" width="7.7109375" style="0" customWidth="1"/>
    <col min="17" max="17" width="6.57421875" style="0" customWidth="1"/>
    <col min="18" max="18" width="8.00390625" style="0" customWidth="1"/>
    <col min="20" max="20" width="8.7109375" style="0" customWidth="1"/>
    <col min="21" max="21" width="8.140625" style="0" customWidth="1"/>
    <col min="22" max="22" width="7.00390625" style="0" customWidth="1"/>
    <col min="23" max="23" width="7.7109375" style="0" customWidth="1"/>
    <col min="24" max="24" width="7.421875" style="0" customWidth="1"/>
    <col min="25" max="25" width="7.57421875" style="0" customWidth="1"/>
  </cols>
  <sheetData>
    <row r="1" spans="1:25" ht="33.75">
      <c r="A1" s="66" t="s">
        <v>12</v>
      </c>
      <c r="B1" s="68" t="s">
        <v>13</v>
      </c>
      <c r="C1" s="9" t="s">
        <v>14</v>
      </c>
      <c r="D1" s="9" t="s">
        <v>15</v>
      </c>
      <c r="E1" s="9" t="s">
        <v>16</v>
      </c>
      <c r="F1" s="9" t="s">
        <v>17</v>
      </c>
      <c r="G1" s="9" t="s">
        <v>18</v>
      </c>
      <c r="H1" s="9" t="s">
        <v>19</v>
      </c>
      <c r="I1" s="9" t="s">
        <v>15</v>
      </c>
      <c r="J1" s="9" t="s">
        <v>20</v>
      </c>
      <c r="K1" s="9" t="s">
        <v>17</v>
      </c>
      <c r="L1" s="9" t="s">
        <v>21</v>
      </c>
      <c r="M1" s="10" t="s">
        <v>22</v>
      </c>
      <c r="N1" s="9" t="s">
        <v>23</v>
      </c>
      <c r="O1" s="9" t="s">
        <v>24</v>
      </c>
      <c r="P1" s="9" t="s">
        <v>15</v>
      </c>
      <c r="Q1" s="9" t="s">
        <v>35</v>
      </c>
      <c r="R1" s="9" t="s">
        <v>25</v>
      </c>
      <c r="S1" s="9" t="s">
        <v>26</v>
      </c>
      <c r="T1" s="10" t="s">
        <v>15</v>
      </c>
      <c r="U1" s="9" t="s">
        <v>27</v>
      </c>
      <c r="V1" s="9" t="s">
        <v>15</v>
      </c>
      <c r="W1" s="9" t="s">
        <v>28</v>
      </c>
      <c r="X1" s="9" t="s">
        <v>17</v>
      </c>
      <c r="Y1" s="10" t="s">
        <v>29</v>
      </c>
    </row>
    <row r="2" spans="1:25" ht="12.75">
      <c r="A2" s="67"/>
      <c r="B2" s="69"/>
      <c r="C2" s="10" t="s">
        <v>30</v>
      </c>
      <c r="D2" s="10"/>
      <c r="E2" s="10" t="s">
        <v>30</v>
      </c>
      <c r="F2" s="10"/>
      <c r="G2" s="10" t="s">
        <v>30</v>
      </c>
      <c r="H2" s="10" t="s">
        <v>31</v>
      </c>
      <c r="I2" s="10"/>
      <c r="J2" s="10" t="s">
        <v>31</v>
      </c>
      <c r="K2" s="10"/>
      <c r="L2" s="10" t="s">
        <v>31</v>
      </c>
      <c r="M2" s="10" t="s">
        <v>32</v>
      </c>
      <c r="N2" s="10" t="s">
        <v>33</v>
      </c>
      <c r="O2" s="10" t="s">
        <v>42</v>
      </c>
      <c r="P2" s="10"/>
      <c r="Q2" s="10"/>
      <c r="R2" s="10" t="s">
        <v>34</v>
      </c>
      <c r="S2" s="10"/>
      <c r="T2" s="10"/>
      <c r="U2" s="10"/>
      <c r="V2" s="10"/>
      <c r="W2" s="10"/>
      <c r="X2" s="10"/>
      <c r="Y2" s="10" t="s">
        <v>32</v>
      </c>
    </row>
    <row r="3" spans="1:25" ht="12.75">
      <c r="A3" s="6">
        <v>2019</v>
      </c>
      <c r="B3" s="55">
        <v>43525</v>
      </c>
      <c r="C3" s="37">
        <v>27.53</v>
      </c>
      <c r="D3" s="6">
        <v>1600</v>
      </c>
      <c r="E3" s="37">
        <v>20.12</v>
      </c>
      <c r="F3" s="6">
        <v>1943</v>
      </c>
      <c r="G3" s="37">
        <v>22.48</v>
      </c>
      <c r="H3" s="37">
        <v>93.9</v>
      </c>
      <c r="I3" s="6">
        <v>2221</v>
      </c>
      <c r="J3" s="37">
        <v>68.86</v>
      </c>
      <c r="K3" s="6">
        <v>1602</v>
      </c>
      <c r="L3" s="37">
        <v>86.4</v>
      </c>
      <c r="M3" s="36">
        <v>39</v>
      </c>
      <c r="N3" s="39">
        <v>1.155</v>
      </c>
      <c r="O3" s="39">
        <f>5.675*3.6</f>
        <v>20.43</v>
      </c>
      <c r="P3" s="6">
        <v>1928</v>
      </c>
      <c r="Q3" s="36">
        <v>191.8</v>
      </c>
      <c r="R3" s="37">
        <v>5.749</v>
      </c>
      <c r="S3" s="36">
        <v>749</v>
      </c>
      <c r="T3" s="6">
        <v>1142</v>
      </c>
      <c r="U3" s="37">
        <v>27.64</v>
      </c>
      <c r="V3" s="6">
        <v>1539</v>
      </c>
      <c r="W3" s="37">
        <v>-61.11</v>
      </c>
      <c r="X3" s="6">
        <v>1954</v>
      </c>
      <c r="Y3" s="39">
        <v>1.132</v>
      </c>
    </row>
    <row r="4" spans="1:25" ht="12.75">
      <c r="A4" s="6">
        <v>2019</v>
      </c>
      <c r="B4" s="55">
        <v>43526</v>
      </c>
      <c r="C4" s="37">
        <v>23.04</v>
      </c>
      <c r="D4" s="6">
        <v>1232</v>
      </c>
      <c r="E4" s="6">
        <v>20.07</v>
      </c>
      <c r="F4" s="6">
        <v>157</v>
      </c>
      <c r="G4" s="37">
        <v>21.18</v>
      </c>
      <c r="H4" s="37">
        <v>93.3</v>
      </c>
      <c r="I4" s="6">
        <v>6</v>
      </c>
      <c r="J4" s="37">
        <v>83.1</v>
      </c>
      <c r="K4" s="6">
        <v>1712</v>
      </c>
      <c r="L4" s="37">
        <v>90.5</v>
      </c>
      <c r="M4" s="36">
        <v>17.7</v>
      </c>
      <c r="N4" s="39">
        <v>0.648</v>
      </c>
      <c r="O4" s="39">
        <f>4.7*3.6</f>
        <v>16.92</v>
      </c>
      <c r="P4" s="6">
        <v>309</v>
      </c>
      <c r="Q4" s="36">
        <v>1.508</v>
      </c>
      <c r="R4" s="37">
        <v>3.588</v>
      </c>
      <c r="S4" s="36">
        <v>253</v>
      </c>
      <c r="T4" s="6">
        <v>1123</v>
      </c>
      <c r="U4" s="37">
        <v>13.67</v>
      </c>
      <c r="V4" s="6">
        <v>1142</v>
      </c>
      <c r="W4" s="37">
        <v>-19.17</v>
      </c>
      <c r="X4" s="6">
        <v>0</v>
      </c>
      <c r="Y4" s="39">
        <v>0.605</v>
      </c>
    </row>
    <row r="5" spans="1:25" ht="12.75">
      <c r="A5" s="6">
        <v>2019</v>
      </c>
      <c r="B5" s="55">
        <v>43527</v>
      </c>
      <c r="C5" s="6">
        <v>28.51</v>
      </c>
      <c r="D5" s="6">
        <v>1506</v>
      </c>
      <c r="E5" s="6">
        <v>19.85</v>
      </c>
      <c r="F5" s="6">
        <v>1859</v>
      </c>
      <c r="G5" s="37">
        <v>22.63</v>
      </c>
      <c r="H5" s="37">
        <v>96</v>
      </c>
      <c r="I5" s="6">
        <v>1805</v>
      </c>
      <c r="J5" s="37">
        <v>52.2</v>
      </c>
      <c r="K5" s="6">
        <v>1653</v>
      </c>
      <c r="L5" s="37">
        <v>82</v>
      </c>
      <c r="M5" s="36">
        <v>26.9</v>
      </c>
      <c r="N5" s="39">
        <v>1.207</v>
      </c>
      <c r="O5" s="39">
        <f>8.75*3.6</f>
        <v>31.5</v>
      </c>
      <c r="P5" s="6">
        <v>1752</v>
      </c>
      <c r="Q5" s="36">
        <v>15.26</v>
      </c>
      <c r="R5" s="37">
        <v>8.42</v>
      </c>
      <c r="S5" s="36">
        <v>1102</v>
      </c>
      <c r="T5" s="6">
        <v>1251</v>
      </c>
      <c r="U5" s="37">
        <v>48.91</v>
      </c>
      <c r="V5" s="6">
        <v>1328</v>
      </c>
      <c r="W5" s="37">
        <v>-78.2</v>
      </c>
      <c r="X5" s="6">
        <v>1801</v>
      </c>
      <c r="Y5" s="39">
        <v>1.851</v>
      </c>
    </row>
    <row r="6" spans="1:25" ht="12.75">
      <c r="A6" s="6">
        <v>2019</v>
      </c>
      <c r="B6" s="55">
        <v>43528</v>
      </c>
      <c r="C6" s="37">
        <v>26.47</v>
      </c>
      <c r="D6" s="6">
        <v>1650</v>
      </c>
      <c r="E6" s="6">
        <v>19.74</v>
      </c>
      <c r="F6" s="6">
        <v>431</v>
      </c>
      <c r="G6" s="37">
        <v>22.26</v>
      </c>
      <c r="H6" s="37">
        <v>94.9</v>
      </c>
      <c r="I6" s="6">
        <v>332</v>
      </c>
      <c r="J6" s="37">
        <v>57.84</v>
      </c>
      <c r="K6" s="6">
        <v>1631</v>
      </c>
      <c r="L6" s="37">
        <v>82.5</v>
      </c>
      <c r="M6" s="36">
        <v>2.5</v>
      </c>
      <c r="N6" s="39">
        <v>2.174</v>
      </c>
      <c r="O6" s="39">
        <f>7.06*3.6</f>
        <v>25.416</v>
      </c>
      <c r="P6" s="6">
        <v>1115</v>
      </c>
      <c r="Q6" s="36">
        <v>0.471</v>
      </c>
      <c r="R6" s="37">
        <v>7.64</v>
      </c>
      <c r="S6" s="36">
        <v>741</v>
      </c>
      <c r="T6" s="6">
        <v>1450</v>
      </c>
      <c r="U6" s="37">
        <v>25</v>
      </c>
      <c r="V6" s="6">
        <v>1548</v>
      </c>
      <c r="W6" s="37">
        <v>-15.95</v>
      </c>
      <c r="X6" s="6">
        <v>453</v>
      </c>
      <c r="Y6" s="6">
        <v>1.798</v>
      </c>
    </row>
    <row r="7" spans="1:25" ht="12.75">
      <c r="A7" s="6">
        <v>2019</v>
      </c>
      <c r="B7" s="55">
        <v>43529</v>
      </c>
      <c r="C7" s="37">
        <v>28.38</v>
      </c>
      <c r="D7" s="6">
        <v>1314</v>
      </c>
      <c r="E7" s="37">
        <v>20.01</v>
      </c>
      <c r="F7" s="6">
        <v>558</v>
      </c>
      <c r="G7" s="37">
        <v>23.26</v>
      </c>
      <c r="H7" s="37">
        <v>94.6</v>
      </c>
      <c r="I7" s="6">
        <v>2232</v>
      </c>
      <c r="J7" s="37">
        <v>51.07</v>
      </c>
      <c r="K7" s="6">
        <v>1151</v>
      </c>
      <c r="L7" s="37">
        <v>80.4</v>
      </c>
      <c r="M7" s="36">
        <v>4.1</v>
      </c>
      <c r="N7" s="6">
        <v>1.409</v>
      </c>
      <c r="O7" s="35">
        <f>9.12*3.6</f>
        <v>32.832</v>
      </c>
      <c r="P7" s="6">
        <v>1504</v>
      </c>
      <c r="Q7" s="36">
        <v>6.687</v>
      </c>
      <c r="R7" s="6">
        <v>10.47</v>
      </c>
      <c r="S7" s="36">
        <v>1102</v>
      </c>
      <c r="T7" s="6">
        <v>1148</v>
      </c>
      <c r="U7" s="37">
        <v>52.57</v>
      </c>
      <c r="V7" s="6">
        <v>1209</v>
      </c>
      <c r="W7" s="37">
        <v>-30.85</v>
      </c>
      <c r="X7" s="6">
        <v>1945</v>
      </c>
      <c r="Y7" s="39">
        <v>2.169</v>
      </c>
    </row>
    <row r="8" spans="1:25" ht="12.75">
      <c r="A8" s="6">
        <v>2019</v>
      </c>
      <c r="B8" s="55">
        <v>43530</v>
      </c>
      <c r="C8" s="37">
        <v>31.23</v>
      </c>
      <c r="D8" s="6">
        <v>1526</v>
      </c>
      <c r="E8" s="37">
        <v>19.54</v>
      </c>
      <c r="F8" s="6">
        <v>620</v>
      </c>
      <c r="G8" s="37">
        <v>24.21</v>
      </c>
      <c r="H8" s="37">
        <v>93.8</v>
      </c>
      <c r="I8" s="6">
        <v>37</v>
      </c>
      <c r="J8" s="37">
        <v>39.79</v>
      </c>
      <c r="K8" s="6">
        <v>1404</v>
      </c>
      <c r="L8" s="37">
        <v>67.8</v>
      </c>
      <c r="M8" s="6">
        <v>1.3</v>
      </c>
      <c r="N8" s="39">
        <v>1.147</v>
      </c>
      <c r="O8" s="39">
        <f>6.8*3.6</f>
        <v>24.48</v>
      </c>
      <c r="P8" s="6">
        <v>1645</v>
      </c>
      <c r="Q8" s="36">
        <v>131.5</v>
      </c>
      <c r="R8" s="37">
        <v>11.62</v>
      </c>
      <c r="S8" s="36">
        <v>958</v>
      </c>
      <c r="T8" s="6">
        <v>1406</v>
      </c>
      <c r="U8" s="37">
        <v>52.16</v>
      </c>
      <c r="V8" s="6">
        <v>1430</v>
      </c>
      <c r="W8" s="37">
        <v>-18.74</v>
      </c>
      <c r="X8" s="6">
        <v>614</v>
      </c>
      <c r="Y8" s="39">
        <v>2.636</v>
      </c>
    </row>
    <row r="9" spans="1:25" ht="12.75">
      <c r="A9" s="6">
        <v>2019</v>
      </c>
      <c r="B9" s="55">
        <v>43531</v>
      </c>
      <c r="C9" s="37">
        <v>31.3</v>
      </c>
      <c r="D9" s="6">
        <v>1521</v>
      </c>
      <c r="E9" s="37">
        <v>20.6</v>
      </c>
      <c r="F9" s="6">
        <v>621</v>
      </c>
      <c r="G9" s="37">
        <v>24.74</v>
      </c>
      <c r="H9" s="37">
        <v>91.2</v>
      </c>
      <c r="I9" s="6">
        <v>0</v>
      </c>
      <c r="J9" s="37">
        <v>40.92</v>
      </c>
      <c r="K9" s="6">
        <v>1523</v>
      </c>
      <c r="L9" s="37">
        <v>66.6</v>
      </c>
      <c r="M9" s="6">
        <v>0.1</v>
      </c>
      <c r="N9" s="6">
        <v>1.756</v>
      </c>
      <c r="O9" s="39">
        <f>6.425*3.6</f>
        <v>23.13</v>
      </c>
      <c r="P9" s="6">
        <v>1459</v>
      </c>
      <c r="Q9" s="36">
        <v>278.6</v>
      </c>
      <c r="R9" s="6">
        <v>11.84</v>
      </c>
      <c r="S9" s="36">
        <v>1004</v>
      </c>
      <c r="T9" s="6">
        <v>1148</v>
      </c>
      <c r="U9" s="37">
        <v>46.84</v>
      </c>
      <c r="V9" s="6">
        <v>1321</v>
      </c>
      <c r="W9" s="37">
        <v>-40.03</v>
      </c>
      <c r="X9" s="6">
        <v>2322</v>
      </c>
      <c r="Y9" s="35">
        <v>2.899</v>
      </c>
    </row>
    <row r="10" spans="1:25" ht="12.75">
      <c r="A10" s="6">
        <v>2019</v>
      </c>
      <c r="B10" s="55">
        <v>43532</v>
      </c>
      <c r="C10" s="37">
        <v>32.41</v>
      </c>
      <c r="D10" s="6">
        <v>1600</v>
      </c>
      <c r="E10" s="37">
        <v>20.54</v>
      </c>
      <c r="F10" s="6">
        <v>419</v>
      </c>
      <c r="G10" s="37">
        <v>25.8</v>
      </c>
      <c r="H10" s="37">
        <v>93.22</v>
      </c>
      <c r="I10" s="6">
        <v>13</v>
      </c>
      <c r="J10" s="37">
        <v>36.54</v>
      </c>
      <c r="K10" s="6">
        <v>1405</v>
      </c>
      <c r="L10" s="37">
        <v>72.7</v>
      </c>
      <c r="M10" s="6">
        <v>0</v>
      </c>
      <c r="N10" s="35">
        <v>0.925</v>
      </c>
      <c r="O10" s="39">
        <f>6.05*3.6</f>
        <v>21.78</v>
      </c>
      <c r="P10" s="6">
        <v>944</v>
      </c>
      <c r="Q10" s="36">
        <v>42.97</v>
      </c>
      <c r="R10" s="6">
        <v>10.12</v>
      </c>
      <c r="S10" s="36">
        <v>858</v>
      </c>
      <c r="T10" s="6">
        <v>1329</v>
      </c>
      <c r="U10" s="37">
        <v>67.65</v>
      </c>
      <c r="V10" s="6">
        <v>1312</v>
      </c>
      <c r="W10" s="6">
        <v>-40.58</v>
      </c>
      <c r="X10" s="6">
        <v>2335</v>
      </c>
      <c r="Y10" s="35">
        <v>2.411</v>
      </c>
    </row>
    <row r="11" spans="1:25" ht="12.75">
      <c r="A11" s="6">
        <v>2019</v>
      </c>
      <c r="B11" s="55">
        <v>43533</v>
      </c>
      <c r="C11" s="37">
        <v>33.8</v>
      </c>
      <c r="D11" s="6">
        <v>1434</v>
      </c>
      <c r="E11" s="37">
        <v>20.34</v>
      </c>
      <c r="F11" s="6">
        <v>510</v>
      </c>
      <c r="G11" s="37">
        <v>26.55</v>
      </c>
      <c r="H11" s="37">
        <v>90.6</v>
      </c>
      <c r="I11" s="6">
        <v>658</v>
      </c>
      <c r="J11" s="37">
        <v>36.54</v>
      </c>
      <c r="K11" s="6">
        <v>1419</v>
      </c>
      <c r="L11" s="37">
        <v>67.06</v>
      </c>
      <c r="M11" s="6">
        <v>0</v>
      </c>
      <c r="N11" s="35">
        <v>0.871</v>
      </c>
      <c r="O11" s="39">
        <f>5.3*3.6</f>
        <v>19.08</v>
      </c>
      <c r="P11" s="6">
        <v>1953</v>
      </c>
      <c r="Q11" s="36">
        <v>162.8</v>
      </c>
      <c r="R11" s="6">
        <v>10.41</v>
      </c>
      <c r="S11" s="36">
        <v>974</v>
      </c>
      <c r="T11" s="6">
        <v>1109</v>
      </c>
      <c r="U11" s="37">
        <v>70.4</v>
      </c>
      <c r="V11" s="6">
        <v>1327</v>
      </c>
      <c r="W11" s="37">
        <v>-44.05</v>
      </c>
      <c r="X11" s="6">
        <v>431</v>
      </c>
      <c r="Y11" s="35">
        <v>2.515</v>
      </c>
    </row>
    <row r="12" spans="1:25" ht="12.75">
      <c r="A12" s="6">
        <v>2019</v>
      </c>
      <c r="B12" s="55">
        <v>43534</v>
      </c>
      <c r="C12" s="6">
        <v>32.61</v>
      </c>
      <c r="D12" s="6">
        <v>1356</v>
      </c>
      <c r="E12" s="37">
        <v>20.74</v>
      </c>
      <c r="F12" s="6">
        <v>2349</v>
      </c>
      <c r="G12" s="37">
        <v>24.79</v>
      </c>
      <c r="H12" s="37">
        <v>96</v>
      </c>
      <c r="I12" s="6">
        <v>2056</v>
      </c>
      <c r="J12" s="37">
        <v>43.51</v>
      </c>
      <c r="K12" s="6">
        <v>1532</v>
      </c>
      <c r="L12" s="37">
        <v>76.7</v>
      </c>
      <c r="M12" s="6">
        <v>1.8</v>
      </c>
      <c r="N12" s="35">
        <v>1.557</v>
      </c>
      <c r="O12" s="39">
        <f>9.5*3.6</f>
        <v>34.2</v>
      </c>
      <c r="P12" s="6">
        <v>1613</v>
      </c>
      <c r="Q12" s="36">
        <v>128.6</v>
      </c>
      <c r="R12" s="6">
        <v>8.86</v>
      </c>
      <c r="S12" s="36">
        <v>823</v>
      </c>
      <c r="T12" s="6">
        <v>1252</v>
      </c>
      <c r="U12" s="37">
        <v>65.25</v>
      </c>
      <c r="V12" s="6">
        <v>1244</v>
      </c>
      <c r="W12" s="37">
        <v>-43.36</v>
      </c>
      <c r="X12" s="6">
        <v>607</v>
      </c>
      <c r="Y12" s="35">
        <v>2.18</v>
      </c>
    </row>
    <row r="13" spans="1:26" ht="12.75">
      <c r="A13" s="6">
        <v>2019</v>
      </c>
      <c r="B13" s="55">
        <v>43535</v>
      </c>
      <c r="C13" s="37">
        <v>27.4</v>
      </c>
      <c r="D13" s="6">
        <v>1708</v>
      </c>
      <c r="E13" s="37">
        <v>19.81</v>
      </c>
      <c r="F13" s="6">
        <v>421</v>
      </c>
      <c r="G13" s="37">
        <v>22.9</v>
      </c>
      <c r="H13" s="37">
        <v>96.8</v>
      </c>
      <c r="I13" s="6">
        <v>400</v>
      </c>
      <c r="J13" s="6">
        <v>61.03</v>
      </c>
      <c r="K13" s="6">
        <v>1715</v>
      </c>
      <c r="L13" s="37">
        <v>82.2</v>
      </c>
      <c r="M13" s="6">
        <v>0.9</v>
      </c>
      <c r="N13" s="35">
        <v>1.427</v>
      </c>
      <c r="O13" s="35">
        <f>5.9*3.6</f>
        <v>21.240000000000002</v>
      </c>
      <c r="P13" s="6">
        <v>2127</v>
      </c>
      <c r="Q13" s="36">
        <v>90.7</v>
      </c>
      <c r="R13" s="37">
        <v>6.201</v>
      </c>
      <c r="S13" s="36">
        <v>451.2</v>
      </c>
      <c r="T13" s="6">
        <v>1320</v>
      </c>
      <c r="U13" s="37">
        <v>28.57</v>
      </c>
      <c r="V13" s="6">
        <v>1335</v>
      </c>
      <c r="W13" s="37">
        <v>-45.71</v>
      </c>
      <c r="X13" s="6">
        <v>150</v>
      </c>
      <c r="Y13" s="35">
        <v>1.396</v>
      </c>
      <c r="Z13" s="13"/>
    </row>
    <row r="14" spans="1:25" ht="12.75">
      <c r="A14" s="6">
        <v>2019</v>
      </c>
      <c r="B14" s="55">
        <v>43536</v>
      </c>
      <c r="C14" s="37">
        <v>32.21</v>
      </c>
      <c r="D14" s="6">
        <v>1532</v>
      </c>
      <c r="E14" s="6">
        <v>19.34</v>
      </c>
      <c r="F14" s="6">
        <v>631</v>
      </c>
      <c r="G14" s="6">
        <v>24.71</v>
      </c>
      <c r="H14" s="37">
        <v>93.3</v>
      </c>
      <c r="I14" s="6">
        <v>648</v>
      </c>
      <c r="J14" s="37">
        <v>41.25</v>
      </c>
      <c r="K14" s="6">
        <v>1535</v>
      </c>
      <c r="L14" s="37">
        <v>71.4</v>
      </c>
      <c r="M14" s="6">
        <v>0</v>
      </c>
      <c r="N14" s="6">
        <v>1.645</v>
      </c>
      <c r="O14" s="35">
        <f>6.5*3.6</f>
        <v>23.400000000000002</v>
      </c>
      <c r="P14" s="6">
        <v>1626</v>
      </c>
      <c r="Q14" s="36">
        <v>306</v>
      </c>
      <c r="R14" s="6">
        <v>11.09</v>
      </c>
      <c r="S14" s="36">
        <v>871</v>
      </c>
      <c r="T14" s="6">
        <v>1254</v>
      </c>
      <c r="U14" s="37">
        <v>57.34</v>
      </c>
      <c r="V14" s="6">
        <v>1259</v>
      </c>
      <c r="W14" s="37">
        <v>-32.67</v>
      </c>
      <c r="X14" s="6">
        <v>1948</v>
      </c>
      <c r="Y14" s="35">
        <v>2.707</v>
      </c>
    </row>
    <row r="15" spans="1:25" ht="12.75">
      <c r="A15" s="6">
        <v>2019</v>
      </c>
      <c r="B15" s="55">
        <v>43537</v>
      </c>
      <c r="C15" s="37">
        <v>31.1</v>
      </c>
      <c r="D15" s="6">
        <v>1530</v>
      </c>
      <c r="E15" s="37">
        <v>20.8</v>
      </c>
      <c r="F15" s="6">
        <v>639</v>
      </c>
      <c r="G15" s="6">
        <v>25.15</v>
      </c>
      <c r="H15" s="37">
        <v>97.6</v>
      </c>
      <c r="I15" s="6">
        <v>635</v>
      </c>
      <c r="J15" s="37">
        <v>46.49</v>
      </c>
      <c r="K15" s="6">
        <v>1605</v>
      </c>
      <c r="L15" s="37">
        <v>76.1</v>
      </c>
      <c r="M15" s="36">
        <v>1.2</v>
      </c>
      <c r="N15" s="6">
        <v>1.507</v>
      </c>
      <c r="O15" s="39">
        <f>5.9*3.6</f>
        <v>21.240000000000002</v>
      </c>
      <c r="P15" s="6">
        <v>1419</v>
      </c>
      <c r="Q15" s="6">
        <v>284.4</v>
      </c>
      <c r="R15" s="6">
        <v>9.13</v>
      </c>
      <c r="S15" s="36">
        <v>965</v>
      </c>
      <c r="T15" s="6">
        <v>1205</v>
      </c>
      <c r="U15" s="37">
        <v>48.86</v>
      </c>
      <c r="V15" s="6">
        <v>1304</v>
      </c>
      <c r="W15" s="6">
        <v>-41.58</v>
      </c>
      <c r="X15" s="6">
        <v>620</v>
      </c>
      <c r="Y15" s="6">
        <v>2.284</v>
      </c>
    </row>
    <row r="16" spans="1:25" ht="12.75">
      <c r="A16" s="6">
        <v>2019</v>
      </c>
      <c r="B16" s="55">
        <v>43538</v>
      </c>
      <c r="C16" s="6">
        <v>30.57</v>
      </c>
      <c r="D16" s="6">
        <v>1258</v>
      </c>
      <c r="E16" s="37">
        <v>20.8</v>
      </c>
      <c r="F16" s="6">
        <v>601</v>
      </c>
      <c r="G16" s="37">
        <v>23.54</v>
      </c>
      <c r="H16" s="37">
        <v>98.3</v>
      </c>
      <c r="I16" s="6">
        <v>2358</v>
      </c>
      <c r="J16" s="37">
        <v>53.06</v>
      </c>
      <c r="K16" s="6">
        <v>1355</v>
      </c>
      <c r="L16" s="37">
        <v>86.4</v>
      </c>
      <c r="M16" s="36">
        <v>10</v>
      </c>
      <c r="N16" s="6">
        <v>1.511</v>
      </c>
      <c r="O16" s="35">
        <f>6.8*3.6</f>
        <v>24.48</v>
      </c>
      <c r="P16" s="6">
        <v>1543</v>
      </c>
      <c r="Q16" s="36">
        <v>275.2</v>
      </c>
      <c r="R16" s="37">
        <v>6.341</v>
      </c>
      <c r="S16" s="36">
        <v>946</v>
      </c>
      <c r="T16" s="6">
        <v>1149</v>
      </c>
      <c r="U16" s="37">
        <v>42.16</v>
      </c>
      <c r="V16" s="6">
        <v>1310</v>
      </c>
      <c r="W16" s="6">
        <v>-69.02</v>
      </c>
      <c r="X16" s="6">
        <v>1556</v>
      </c>
      <c r="Y16" s="35">
        <v>1.528</v>
      </c>
    </row>
    <row r="17" spans="1:25" ht="12.75">
      <c r="A17" s="6">
        <v>2019</v>
      </c>
      <c r="B17" s="55">
        <v>43539</v>
      </c>
      <c r="C17" s="6">
        <v>30.37</v>
      </c>
      <c r="D17" s="6">
        <v>1554</v>
      </c>
      <c r="E17" s="6">
        <v>19.74</v>
      </c>
      <c r="F17" s="6">
        <v>604</v>
      </c>
      <c r="G17" s="6">
        <v>24.08</v>
      </c>
      <c r="H17" s="37">
        <v>98.6</v>
      </c>
      <c r="I17" s="6">
        <v>717</v>
      </c>
      <c r="J17" s="37">
        <v>51.53</v>
      </c>
      <c r="K17" s="6">
        <v>1343</v>
      </c>
      <c r="L17" s="37">
        <v>82</v>
      </c>
      <c r="M17" s="36">
        <v>3</v>
      </c>
      <c r="N17" s="39">
        <v>1.216</v>
      </c>
      <c r="O17" s="39">
        <f>5.6*3.6</f>
        <v>20.16</v>
      </c>
      <c r="P17" s="6">
        <v>1420</v>
      </c>
      <c r="Q17" s="36">
        <v>178</v>
      </c>
      <c r="R17" s="37">
        <v>8.06</v>
      </c>
      <c r="S17" s="36">
        <v>1058</v>
      </c>
      <c r="T17" s="6">
        <v>1237</v>
      </c>
      <c r="U17" s="37">
        <v>50.88</v>
      </c>
      <c r="V17" s="6">
        <v>1145</v>
      </c>
      <c r="W17" s="37">
        <v>-44.23</v>
      </c>
      <c r="X17" s="6">
        <v>2354</v>
      </c>
      <c r="Y17" s="6">
        <v>1.996</v>
      </c>
    </row>
    <row r="18" spans="1:25" ht="12.75">
      <c r="A18" s="6">
        <v>2019</v>
      </c>
      <c r="B18" s="55">
        <v>43540</v>
      </c>
      <c r="C18" s="37">
        <v>30.5</v>
      </c>
      <c r="D18" s="6">
        <v>1626</v>
      </c>
      <c r="E18" s="37">
        <v>20.6</v>
      </c>
      <c r="F18" s="6">
        <v>506</v>
      </c>
      <c r="G18" s="6">
        <v>23.91</v>
      </c>
      <c r="H18" s="37">
        <v>98.4</v>
      </c>
      <c r="I18" s="6">
        <v>850</v>
      </c>
      <c r="J18" s="37">
        <v>46.49</v>
      </c>
      <c r="K18" s="6">
        <v>1619</v>
      </c>
      <c r="L18" s="37">
        <v>83.1</v>
      </c>
      <c r="M18" s="6">
        <v>0.5</v>
      </c>
      <c r="N18" s="39">
        <v>1.463</v>
      </c>
      <c r="O18" s="39">
        <f>6.5*3.6</f>
        <v>23.400000000000002</v>
      </c>
      <c r="P18" s="6">
        <v>1947</v>
      </c>
      <c r="Q18" s="36">
        <v>93.2</v>
      </c>
      <c r="R18" s="37">
        <v>7.62</v>
      </c>
      <c r="S18" s="36">
        <v>1062</v>
      </c>
      <c r="T18" s="6">
        <v>1232</v>
      </c>
      <c r="U18" s="37">
        <v>41.48</v>
      </c>
      <c r="V18" s="6">
        <v>1435</v>
      </c>
      <c r="W18" s="6">
        <v>-44.07</v>
      </c>
      <c r="X18" s="6">
        <v>5</v>
      </c>
      <c r="Y18" s="35">
        <v>1.695</v>
      </c>
    </row>
    <row r="19" spans="1:25" ht="12.75">
      <c r="A19" s="6">
        <v>2019</v>
      </c>
      <c r="B19" s="55">
        <v>43541</v>
      </c>
      <c r="C19" s="37">
        <v>31.43</v>
      </c>
      <c r="D19" s="6">
        <v>1626</v>
      </c>
      <c r="E19" s="6">
        <v>19.28</v>
      </c>
      <c r="F19" s="6">
        <v>622</v>
      </c>
      <c r="G19" s="37">
        <v>24.7</v>
      </c>
      <c r="H19" s="37">
        <v>98.8</v>
      </c>
      <c r="I19" s="6">
        <v>629</v>
      </c>
      <c r="J19" s="37">
        <v>45.43</v>
      </c>
      <c r="K19" s="6">
        <v>1448</v>
      </c>
      <c r="L19" s="37">
        <v>77.6</v>
      </c>
      <c r="M19" s="6">
        <v>0</v>
      </c>
      <c r="N19" s="35">
        <v>0.831</v>
      </c>
      <c r="O19" s="39">
        <f>4.4*3.6</f>
        <v>15.840000000000002</v>
      </c>
      <c r="P19" s="6">
        <v>1451</v>
      </c>
      <c r="Q19" s="36">
        <v>243.9</v>
      </c>
      <c r="R19" s="37">
        <v>7.99</v>
      </c>
      <c r="S19" s="36">
        <v>943</v>
      </c>
      <c r="T19" s="6">
        <v>1248</v>
      </c>
      <c r="U19" s="37">
        <v>32.41</v>
      </c>
      <c r="V19" s="6">
        <v>1337</v>
      </c>
      <c r="W19" s="37">
        <v>-43.35</v>
      </c>
      <c r="X19" s="6">
        <v>312</v>
      </c>
      <c r="Y19" s="35">
        <v>1.882</v>
      </c>
    </row>
    <row r="20" spans="1:25" ht="12.75">
      <c r="A20" s="6">
        <v>2019</v>
      </c>
      <c r="B20" s="55">
        <v>43542</v>
      </c>
      <c r="C20" s="37">
        <v>31.1</v>
      </c>
      <c r="D20" s="6">
        <v>1248</v>
      </c>
      <c r="E20" s="37">
        <v>20.6</v>
      </c>
      <c r="F20" s="6">
        <v>631</v>
      </c>
      <c r="G20" s="6">
        <v>24.38</v>
      </c>
      <c r="H20" s="37">
        <v>98.1</v>
      </c>
      <c r="I20" s="6">
        <v>708</v>
      </c>
      <c r="J20" s="37">
        <v>52.13</v>
      </c>
      <c r="K20" s="6">
        <v>1250</v>
      </c>
      <c r="L20" s="37">
        <v>83.5</v>
      </c>
      <c r="M20" s="6">
        <v>0</v>
      </c>
      <c r="N20" s="35">
        <v>0.847</v>
      </c>
      <c r="O20" s="39">
        <f>8.67*3.6</f>
        <v>31.212</v>
      </c>
      <c r="P20" s="6">
        <v>1622</v>
      </c>
      <c r="Q20" s="36">
        <v>207.6</v>
      </c>
      <c r="R20" s="37">
        <v>6.896</v>
      </c>
      <c r="S20" s="36">
        <v>1020</v>
      </c>
      <c r="T20" s="6">
        <v>1227</v>
      </c>
      <c r="U20" s="37">
        <v>24.96</v>
      </c>
      <c r="V20" s="6">
        <v>1257</v>
      </c>
      <c r="W20" s="37">
        <v>-40.97</v>
      </c>
      <c r="X20" s="6">
        <v>253</v>
      </c>
      <c r="Y20" s="35">
        <v>1.669</v>
      </c>
    </row>
    <row r="21" spans="1:25" ht="12.75">
      <c r="A21" s="6">
        <v>2019</v>
      </c>
      <c r="B21" s="55">
        <v>43543</v>
      </c>
      <c r="C21" s="37">
        <v>31.36</v>
      </c>
      <c r="D21" s="6">
        <v>1446</v>
      </c>
      <c r="E21" s="37">
        <v>20.94</v>
      </c>
      <c r="F21" s="6">
        <v>551</v>
      </c>
      <c r="G21" s="37">
        <v>25.36</v>
      </c>
      <c r="H21" s="37">
        <v>98.4</v>
      </c>
      <c r="I21" s="6">
        <v>808</v>
      </c>
      <c r="J21" s="37">
        <v>45.96</v>
      </c>
      <c r="K21" s="6">
        <v>1410</v>
      </c>
      <c r="L21" s="37">
        <v>77.3</v>
      </c>
      <c r="M21" s="6">
        <v>0</v>
      </c>
      <c r="N21" s="35">
        <v>0.832</v>
      </c>
      <c r="O21" s="35">
        <f>5.225*3.6</f>
        <v>18.81</v>
      </c>
      <c r="P21" s="6">
        <v>1453</v>
      </c>
      <c r="Q21" s="36">
        <v>244</v>
      </c>
      <c r="R21" s="6">
        <v>7.87</v>
      </c>
      <c r="S21" s="36">
        <v>953</v>
      </c>
      <c r="T21" s="6">
        <v>1205</v>
      </c>
      <c r="U21" s="37">
        <v>36.48</v>
      </c>
      <c r="V21" s="6">
        <v>1308</v>
      </c>
      <c r="W21" s="34">
        <v>-40.45</v>
      </c>
      <c r="X21" s="6">
        <v>352</v>
      </c>
      <c r="Y21" s="35">
        <v>1.986</v>
      </c>
    </row>
    <row r="22" spans="1:25" ht="12.75">
      <c r="A22" s="6">
        <v>2019</v>
      </c>
      <c r="B22" s="55">
        <v>43544</v>
      </c>
      <c r="C22" s="37">
        <v>31.83</v>
      </c>
      <c r="D22" s="6">
        <v>1312</v>
      </c>
      <c r="E22" s="37">
        <v>20.4</v>
      </c>
      <c r="F22" s="6">
        <v>2258</v>
      </c>
      <c r="G22" s="37">
        <v>24.99</v>
      </c>
      <c r="H22" s="37">
        <v>98</v>
      </c>
      <c r="I22" s="6">
        <v>2358</v>
      </c>
      <c r="J22" s="37">
        <v>46.89</v>
      </c>
      <c r="K22" s="6">
        <v>1243</v>
      </c>
      <c r="L22" s="37">
        <v>79.5</v>
      </c>
      <c r="M22" s="6">
        <v>71.2</v>
      </c>
      <c r="N22" s="35">
        <v>1.402</v>
      </c>
      <c r="O22" s="39">
        <f>11.45*3.6</f>
        <v>41.22</v>
      </c>
      <c r="P22" s="6">
        <v>2038</v>
      </c>
      <c r="Q22" s="36">
        <v>85.9</v>
      </c>
      <c r="R22" s="37">
        <v>7.39</v>
      </c>
      <c r="S22" s="36">
        <v>956</v>
      </c>
      <c r="T22" s="6">
        <v>1241</v>
      </c>
      <c r="U22" s="37">
        <v>236.4</v>
      </c>
      <c r="V22" s="6">
        <v>2040</v>
      </c>
      <c r="W22" s="37">
        <v>-69.99</v>
      </c>
      <c r="X22" s="6">
        <v>1915</v>
      </c>
      <c r="Y22" s="35">
        <v>1.909</v>
      </c>
    </row>
    <row r="23" spans="1:25" ht="12.75">
      <c r="A23" s="6">
        <v>2019</v>
      </c>
      <c r="B23" s="55">
        <v>43545</v>
      </c>
      <c r="C23" s="6">
        <v>26.21</v>
      </c>
      <c r="D23" s="6">
        <v>1542</v>
      </c>
      <c r="E23" s="37">
        <v>19.08</v>
      </c>
      <c r="F23" s="6">
        <v>2354</v>
      </c>
      <c r="G23" s="37">
        <v>21.89</v>
      </c>
      <c r="H23" s="37">
        <v>98</v>
      </c>
      <c r="I23" s="6">
        <v>209</v>
      </c>
      <c r="J23" s="37">
        <v>69.66</v>
      </c>
      <c r="K23" s="6">
        <v>1501</v>
      </c>
      <c r="L23" s="37">
        <v>88</v>
      </c>
      <c r="M23" s="36">
        <v>2.4</v>
      </c>
      <c r="N23" s="39">
        <v>3.121</v>
      </c>
      <c r="O23" s="35">
        <v>24.613</v>
      </c>
      <c r="P23" s="6">
        <v>925</v>
      </c>
      <c r="Q23" s="36">
        <v>145.8</v>
      </c>
      <c r="R23" s="37">
        <v>4.987</v>
      </c>
      <c r="S23" s="36">
        <v>788</v>
      </c>
      <c r="T23" s="6">
        <v>1346</v>
      </c>
      <c r="U23" s="37">
        <v>23.7</v>
      </c>
      <c r="V23" s="6">
        <v>1423</v>
      </c>
      <c r="W23" s="37">
        <v>-28.64</v>
      </c>
      <c r="X23" s="6">
        <v>1819</v>
      </c>
      <c r="Y23" s="35">
        <v>1.125</v>
      </c>
    </row>
    <row r="24" spans="1:25" ht="12.75">
      <c r="A24" s="6">
        <v>2019</v>
      </c>
      <c r="B24" s="55">
        <v>43546</v>
      </c>
      <c r="C24" s="37">
        <v>26.74</v>
      </c>
      <c r="D24" s="6">
        <v>1611</v>
      </c>
      <c r="E24" s="37">
        <v>17.69</v>
      </c>
      <c r="F24" s="6">
        <v>638</v>
      </c>
      <c r="G24" s="37">
        <v>21.96</v>
      </c>
      <c r="H24" s="37">
        <v>92.5</v>
      </c>
      <c r="I24" s="6">
        <v>652</v>
      </c>
      <c r="J24" s="37">
        <v>61.04</v>
      </c>
      <c r="K24" s="6">
        <v>1424</v>
      </c>
      <c r="L24" s="37">
        <v>78.7</v>
      </c>
      <c r="M24" s="6">
        <v>0</v>
      </c>
      <c r="N24" s="35">
        <v>2.869</v>
      </c>
      <c r="O24" s="39">
        <f>6.575*3.6</f>
        <v>23.67</v>
      </c>
      <c r="P24" s="6">
        <v>1038</v>
      </c>
      <c r="Q24" s="36">
        <v>92.4</v>
      </c>
      <c r="R24" s="37">
        <v>6.697</v>
      </c>
      <c r="S24" s="36">
        <v>807</v>
      </c>
      <c r="T24" s="6">
        <v>1344</v>
      </c>
      <c r="U24" s="37">
        <v>29.98</v>
      </c>
      <c r="V24" s="6">
        <v>1427</v>
      </c>
      <c r="W24" s="34">
        <v>-20.98</v>
      </c>
      <c r="X24" s="6">
        <v>639</v>
      </c>
      <c r="Y24" s="35">
        <v>1.771</v>
      </c>
    </row>
    <row r="25" spans="1:26" ht="12.75">
      <c r="A25" s="6">
        <v>2019</v>
      </c>
      <c r="B25" s="55">
        <v>43547</v>
      </c>
      <c r="C25" s="37">
        <v>29.11</v>
      </c>
      <c r="D25" s="6">
        <v>1534</v>
      </c>
      <c r="E25" s="37">
        <v>17.82</v>
      </c>
      <c r="F25" s="6">
        <v>622</v>
      </c>
      <c r="G25" s="37">
        <v>22.73</v>
      </c>
      <c r="H25" s="37">
        <v>94.9</v>
      </c>
      <c r="I25" s="6">
        <v>322</v>
      </c>
      <c r="J25" s="37">
        <v>48.48</v>
      </c>
      <c r="K25" s="6">
        <v>1620</v>
      </c>
      <c r="L25" s="37">
        <v>76.8</v>
      </c>
      <c r="M25" s="6">
        <v>0</v>
      </c>
      <c r="N25" s="6">
        <v>1.284</v>
      </c>
      <c r="O25" s="39">
        <f>5.075*3.6</f>
        <v>18.27</v>
      </c>
      <c r="P25" s="6">
        <v>934</v>
      </c>
      <c r="Q25" s="36">
        <v>70.7</v>
      </c>
      <c r="R25" s="6">
        <v>8.76</v>
      </c>
      <c r="S25" s="36">
        <v>932</v>
      </c>
      <c r="T25" s="6">
        <v>1237</v>
      </c>
      <c r="U25" s="37">
        <v>43.31</v>
      </c>
      <c r="V25" s="6">
        <v>1201</v>
      </c>
      <c r="W25" s="37">
        <v>-36</v>
      </c>
      <c r="X25" s="6">
        <v>2022</v>
      </c>
      <c r="Y25" s="35">
        <v>1.932</v>
      </c>
      <c r="Z25" s="13"/>
    </row>
    <row r="26" spans="1:25" ht="12.75">
      <c r="A26" s="6">
        <v>2019</v>
      </c>
      <c r="B26" s="55">
        <v>43548</v>
      </c>
      <c r="C26" s="37">
        <v>30.83</v>
      </c>
      <c r="D26" s="6">
        <v>1505</v>
      </c>
      <c r="E26" s="6">
        <v>18.15</v>
      </c>
      <c r="F26" s="6">
        <v>610</v>
      </c>
      <c r="G26" s="6">
        <v>24.11</v>
      </c>
      <c r="H26" s="37">
        <v>96.1</v>
      </c>
      <c r="I26" s="6">
        <v>641</v>
      </c>
      <c r="J26" s="37">
        <v>38.93</v>
      </c>
      <c r="K26" s="6">
        <v>1448</v>
      </c>
      <c r="L26" s="37">
        <v>70.8</v>
      </c>
      <c r="M26" s="38">
        <v>0</v>
      </c>
      <c r="N26" s="6">
        <v>0.994</v>
      </c>
      <c r="O26" s="35">
        <f>4.475*3.6</f>
        <v>16.11</v>
      </c>
      <c r="P26" s="6">
        <v>1626</v>
      </c>
      <c r="Q26" s="36">
        <v>169.5</v>
      </c>
      <c r="R26" s="6">
        <v>9.48</v>
      </c>
      <c r="S26" s="36">
        <v>837</v>
      </c>
      <c r="T26" s="6">
        <v>1237</v>
      </c>
      <c r="U26" s="37">
        <v>49.34</v>
      </c>
      <c r="V26" s="6">
        <v>1126</v>
      </c>
      <c r="W26" s="37">
        <v>-39.99</v>
      </c>
      <c r="X26" s="6">
        <v>2154</v>
      </c>
      <c r="Y26" s="35">
        <v>2.286</v>
      </c>
    </row>
    <row r="27" spans="1:25" ht="12.75">
      <c r="A27" s="6">
        <v>2019</v>
      </c>
      <c r="B27" s="55">
        <v>43549</v>
      </c>
      <c r="C27" s="37">
        <v>30.9</v>
      </c>
      <c r="D27" s="6">
        <v>1524</v>
      </c>
      <c r="E27" s="6">
        <v>18.15</v>
      </c>
      <c r="F27" s="6">
        <v>553</v>
      </c>
      <c r="G27" s="37">
        <v>24.45</v>
      </c>
      <c r="H27" s="37">
        <v>94.7</v>
      </c>
      <c r="I27" s="6">
        <v>609</v>
      </c>
      <c r="J27" s="6">
        <v>37.01</v>
      </c>
      <c r="K27" s="6">
        <v>1549</v>
      </c>
      <c r="L27" s="37">
        <v>69.94</v>
      </c>
      <c r="M27" s="38">
        <v>0</v>
      </c>
      <c r="N27" s="35">
        <v>0.84</v>
      </c>
      <c r="O27" s="39">
        <f>5.975*3.6</f>
        <v>21.509999999999998</v>
      </c>
      <c r="P27" s="6">
        <v>1207</v>
      </c>
      <c r="Q27" s="36">
        <v>5.557</v>
      </c>
      <c r="R27" s="6">
        <v>9.27</v>
      </c>
      <c r="S27" s="36">
        <v>796</v>
      </c>
      <c r="T27" s="6">
        <v>1210</v>
      </c>
      <c r="U27" s="37">
        <v>39.19</v>
      </c>
      <c r="V27" s="6">
        <v>1114</v>
      </c>
      <c r="W27" s="37">
        <v>-42.18</v>
      </c>
      <c r="X27" s="6">
        <v>2325</v>
      </c>
      <c r="Y27" s="35">
        <v>2.168</v>
      </c>
    </row>
    <row r="28" spans="1:25" ht="12.75">
      <c r="A28" s="6">
        <v>2019</v>
      </c>
      <c r="B28" s="55">
        <v>43550</v>
      </c>
      <c r="C28" s="37">
        <v>31.5</v>
      </c>
      <c r="D28" s="6">
        <v>1451</v>
      </c>
      <c r="E28" s="37">
        <v>18.88</v>
      </c>
      <c r="F28" s="6">
        <v>555</v>
      </c>
      <c r="G28" s="6">
        <v>25.31</v>
      </c>
      <c r="H28" s="37">
        <v>93</v>
      </c>
      <c r="I28" s="6">
        <v>610</v>
      </c>
      <c r="J28" s="37">
        <v>37.67</v>
      </c>
      <c r="K28" s="6">
        <v>1317</v>
      </c>
      <c r="L28" s="37">
        <v>65.2</v>
      </c>
      <c r="M28" s="6">
        <v>0</v>
      </c>
      <c r="N28" s="35">
        <v>0.724</v>
      </c>
      <c r="O28" s="39">
        <f>4.925*3.6</f>
        <v>17.73</v>
      </c>
      <c r="P28" s="6">
        <v>1142</v>
      </c>
      <c r="Q28" s="36">
        <v>66.68</v>
      </c>
      <c r="R28" s="6">
        <v>9.68</v>
      </c>
      <c r="S28" s="36">
        <v>694.2</v>
      </c>
      <c r="T28" s="6">
        <v>1306</v>
      </c>
      <c r="U28" s="37">
        <v>35.81</v>
      </c>
      <c r="V28" s="6">
        <v>1045</v>
      </c>
      <c r="W28" s="37">
        <v>-40.91</v>
      </c>
      <c r="X28" s="6">
        <v>2359</v>
      </c>
      <c r="Y28" s="35">
        <v>2.393</v>
      </c>
    </row>
    <row r="29" spans="1:25" ht="12.75">
      <c r="A29" s="6">
        <v>2019</v>
      </c>
      <c r="B29" s="55">
        <v>43551</v>
      </c>
      <c r="C29" s="37">
        <v>31.76</v>
      </c>
      <c r="D29" s="6">
        <v>1528</v>
      </c>
      <c r="E29" s="37">
        <v>19.61</v>
      </c>
      <c r="F29" s="6">
        <v>620</v>
      </c>
      <c r="G29" s="6">
        <v>25.06</v>
      </c>
      <c r="H29" s="37">
        <v>91.5</v>
      </c>
      <c r="I29" s="6">
        <v>631</v>
      </c>
      <c r="J29" s="37">
        <v>37.54</v>
      </c>
      <c r="K29" s="6">
        <v>1517</v>
      </c>
      <c r="L29" s="37">
        <v>67.25</v>
      </c>
      <c r="M29" s="6">
        <v>0</v>
      </c>
      <c r="N29" s="35">
        <v>1.724</v>
      </c>
      <c r="O29" s="39">
        <f>5.9*3.6</f>
        <v>21.240000000000002</v>
      </c>
      <c r="P29" s="6">
        <v>1033</v>
      </c>
      <c r="Q29" s="36">
        <v>4.334</v>
      </c>
      <c r="R29" s="37">
        <v>9.46</v>
      </c>
      <c r="S29" s="36">
        <v>744</v>
      </c>
      <c r="T29" s="6">
        <v>1204</v>
      </c>
      <c r="U29" s="37">
        <v>31.76</v>
      </c>
      <c r="V29" s="6">
        <v>1100</v>
      </c>
      <c r="W29" s="37">
        <v>-41.33</v>
      </c>
      <c r="X29" s="6">
        <v>12</v>
      </c>
      <c r="Y29" s="35">
        <v>2.47</v>
      </c>
    </row>
    <row r="30" spans="1:25" ht="12.75">
      <c r="A30" s="6">
        <v>2019</v>
      </c>
      <c r="B30" s="55">
        <v>43552</v>
      </c>
      <c r="C30" s="37">
        <v>31.3</v>
      </c>
      <c r="D30" s="6">
        <v>1428</v>
      </c>
      <c r="E30" s="6">
        <v>19.54</v>
      </c>
      <c r="F30" s="6">
        <v>605</v>
      </c>
      <c r="G30" s="6">
        <v>24.63</v>
      </c>
      <c r="H30" s="37">
        <v>90.9</v>
      </c>
      <c r="I30" s="6">
        <v>554</v>
      </c>
      <c r="J30" s="37">
        <v>38.6</v>
      </c>
      <c r="K30" s="6">
        <v>1516</v>
      </c>
      <c r="L30" s="37">
        <v>70.2</v>
      </c>
      <c r="M30" s="6">
        <v>0</v>
      </c>
      <c r="N30" s="35">
        <v>2.123</v>
      </c>
      <c r="O30" s="35">
        <f>5.6*3.6</f>
        <v>20.16</v>
      </c>
      <c r="P30" s="6">
        <v>2245</v>
      </c>
      <c r="Q30" s="36">
        <v>113.8</v>
      </c>
      <c r="R30" s="37">
        <v>8.74</v>
      </c>
      <c r="S30" s="36">
        <v>755</v>
      </c>
      <c r="T30" s="6">
        <v>1232</v>
      </c>
      <c r="U30" s="37">
        <v>31.46</v>
      </c>
      <c r="V30" s="6">
        <v>1339</v>
      </c>
      <c r="W30" s="34">
        <v>-41.46</v>
      </c>
      <c r="X30" s="6">
        <v>2351</v>
      </c>
      <c r="Y30" s="35">
        <v>2.264</v>
      </c>
    </row>
    <row r="31" spans="1:25" ht="12.75">
      <c r="A31" s="6">
        <v>2019</v>
      </c>
      <c r="B31" s="55">
        <v>43553</v>
      </c>
      <c r="C31" s="37">
        <v>30.57</v>
      </c>
      <c r="D31" s="6">
        <v>1428</v>
      </c>
      <c r="E31" s="6">
        <v>17.95</v>
      </c>
      <c r="F31" s="6">
        <v>636</v>
      </c>
      <c r="G31" s="37">
        <v>23.74</v>
      </c>
      <c r="H31" s="37">
        <v>89.6</v>
      </c>
      <c r="I31" s="6">
        <v>646</v>
      </c>
      <c r="J31" s="37">
        <v>40.26</v>
      </c>
      <c r="K31" s="6">
        <v>1427</v>
      </c>
      <c r="L31" s="37">
        <v>68.77</v>
      </c>
      <c r="M31" s="6">
        <v>0</v>
      </c>
      <c r="N31" s="35">
        <v>2.35</v>
      </c>
      <c r="O31" s="39">
        <f>5.75*3.6</f>
        <v>20.7</v>
      </c>
      <c r="P31" s="6">
        <v>304</v>
      </c>
      <c r="Q31" s="36">
        <v>110.8</v>
      </c>
      <c r="R31" s="37">
        <v>8.36</v>
      </c>
      <c r="S31" s="36">
        <v>857</v>
      </c>
      <c r="T31" s="6">
        <v>1241</v>
      </c>
      <c r="U31" s="37">
        <v>29.07</v>
      </c>
      <c r="V31" s="6">
        <v>1100</v>
      </c>
      <c r="W31" s="37">
        <v>-41.22</v>
      </c>
      <c r="X31" s="6">
        <v>2225</v>
      </c>
      <c r="Y31" s="35">
        <v>2.328</v>
      </c>
    </row>
    <row r="32" spans="1:25" ht="12.75">
      <c r="A32" s="6">
        <v>2019</v>
      </c>
      <c r="B32" s="55">
        <v>43554</v>
      </c>
      <c r="C32" s="37">
        <v>31.3</v>
      </c>
      <c r="D32" s="6">
        <v>1423</v>
      </c>
      <c r="E32" s="6">
        <v>17.89</v>
      </c>
      <c r="F32" s="6">
        <v>622</v>
      </c>
      <c r="G32" s="37">
        <v>23.81</v>
      </c>
      <c r="H32" s="37">
        <v>89.4</v>
      </c>
      <c r="I32" s="6">
        <v>622</v>
      </c>
      <c r="J32" s="37">
        <v>24.27</v>
      </c>
      <c r="K32" s="6">
        <v>1450</v>
      </c>
      <c r="L32" s="37">
        <v>63.08</v>
      </c>
      <c r="M32" s="6">
        <v>0</v>
      </c>
      <c r="N32" s="35">
        <v>1.969</v>
      </c>
      <c r="O32" s="39">
        <f>6.35*3.6</f>
        <v>22.86</v>
      </c>
      <c r="P32" s="6">
        <v>834</v>
      </c>
      <c r="Q32" s="36">
        <v>83</v>
      </c>
      <c r="R32" s="37">
        <v>9.67</v>
      </c>
      <c r="S32" s="36">
        <v>717</v>
      </c>
      <c r="T32" s="6">
        <v>1157</v>
      </c>
      <c r="U32" s="37">
        <v>34.39</v>
      </c>
      <c r="V32" s="6">
        <v>1119</v>
      </c>
      <c r="W32" s="37">
        <v>-43.18</v>
      </c>
      <c r="X32" s="6">
        <v>2232</v>
      </c>
      <c r="Y32" s="35">
        <v>2.594</v>
      </c>
    </row>
    <row r="33" spans="1:26" ht="12.75">
      <c r="A33" s="6">
        <v>2019</v>
      </c>
      <c r="B33" s="55">
        <v>43555</v>
      </c>
      <c r="C33" s="37">
        <v>31.23</v>
      </c>
      <c r="D33" s="6">
        <v>1602</v>
      </c>
      <c r="E33" s="37">
        <v>17.29</v>
      </c>
      <c r="F33" s="6">
        <v>639</v>
      </c>
      <c r="G33" s="37">
        <v>23.88</v>
      </c>
      <c r="H33" s="37">
        <v>90.5</v>
      </c>
      <c r="I33" s="6">
        <v>644</v>
      </c>
      <c r="J33" s="6">
        <v>32.23</v>
      </c>
      <c r="K33" s="6">
        <v>1537</v>
      </c>
      <c r="L33" s="37">
        <v>62.1</v>
      </c>
      <c r="M33" s="6">
        <v>0</v>
      </c>
      <c r="N33" s="39">
        <v>1.4</v>
      </c>
      <c r="O33" s="35">
        <f>7.55*3.6</f>
        <v>27.18</v>
      </c>
      <c r="P33" s="6">
        <v>1617</v>
      </c>
      <c r="Q33" s="36">
        <v>69.69</v>
      </c>
      <c r="R33" s="6">
        <v>8.99</v>
      </c>
      <c r="S33" s="36">
        <v>722</v>
      </c>
      <c r="T33" s="6">
        <v>1252</v>
      </c>
      <c r="U33" s="37">
        <v>32.55</v>
      </c>
      <c r="V33" s="6">
        <v>1112</v>
      </c>
      <c r="W33" s="37">
        <v>-41.94</v>
      </c>
      <c r="X33" s="6">
        <v>2230</v>
      </c>
      <c r="Y33" s="35">
        <v>2.262</v>
      </c>
      <c r="Z33" s="26"/>
    </row>
    <row r="34" spans="3:25" ht="12.75">
      <c r="C34" s="40">
        <f>AVERAGE(C3:C33)</f>
        <v>30.148387096774197</v>
      </c>
      <c r="D34" s="33"/>
      <c r="E34" s="40">
        <f>AVERAGE(E3:E33)</f>
        <v>19.54548387096774</v>
      </c>
      <c r="F34" s="33"/>
      <c r="G34" s="40">
        <f>AVERAGE(G3:G33)</f>
        <v>23.973870967741934</v>
      </c>
      <c r="H34" s="40">
        <f>AVERAGE(H3:H33)</f>
        <v>94.6748387096774</v>
      </c>
      <c r="I34" s="33"/>
      <c r="J34" s="40">
        <f>AVERAGE(J3:J33)</f>
        <v>47.30064516129032</v>
      </c>
      <c r="K34" s="33"/>
      <c r="L34" s="40">
        <f>AVERAGE(L3:L33)</f>
        <v>75.89032258064515</v>
      </c>
      <c r="M34" s="41">
        <f>SUM(M3:M33)</f>
        <v>182.6</v>
      </c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41">
        <f>SUM(Y3:Y33)</f>
        <v>62.841</v>
      </c>
    </row>
  </sheetData>
  <sheetProtection/>
  <mergeCells count="2">
    <mergeCell ref="A1:A2"/>
    <mergeCell ref="B1:B2"/>
  </mergeCells>
  <printOptions horizontalCentered="1"/>
  <pageMargins left="0.3937007874015748" right="0.3937007874015748" top="0.984251968503937" bottom="0.5905511811023623" header="0.5118110236220472" footer="0.5118110236220472"/>
  <pageSetup horizontalDpi="300" verticalDpi="300" orientation="landscape" paperSize="9" scale="65" r:id="rId1"/>
  <headerFooter alignWithMargins="0">
    <oddHeader>&amp;C&amp;"Arial,Negrito"POSTO METEOROLÓGICO - ESTAÇÃO EXPERIMENTAL DE CITRICULTURA DE BEBEDOURO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Z33"/>
  <sheetViews>
    <sheetView view="pageBreakPreview" zoomScale="75" zoomScaleSheetLayoutView="75" zoomScalePageLayoutView="0" workbookViewId="0" topLeftCell="B1">
      <selection activeCell="L32" sqref="L32"/>
    </sheetView>
  </sheetViews>
  <sheetFormatPr defaultColWidth="9.140625" defaultRowHeight="12.75"/>
  <cols>
    <col min="1" max="1" width="7.140625" style="0" customWidth="1"/>
    <col min="2" max="2" width="8.28125" style="0" customWidth="1"/>
    <col min="3" max="3" width="9.7109375" style="0" customWidth="1"/>
    <col min="6" max="6" width="8.28125" style="0" customWidth="1"/>
    <col min="7" max="7" width="9.7109375" style="0" customWidth="1"/>
    <col min="9" max="9" width="7.28125" style="0" customWidth="1"/>
    <col min="11" max="11" width="7.140625" style="0" customWidth="1"/>
    <col min="13" max="13" width="7.28125" style="0" customWidth="1"/>
    <col min="16" max="16" width="7.7109375" style="0" customWidth="1"/>
    <col min="17" max="17" width="6.57421875" style="0" customWidth="1"/>
    <col min="18" max="18" width="8.00390625" style="0" customWidth="1"/>
    <col min="20" max="20" width="8.7109375" style="0" customWidth="1"/>
    <col min="21" max="21" width="8.140625" style="0" customWidth="1"/>
    <col min="22" max="22" width="7.00390625" style="0" customWidth="1"/>
    <col min="23" max="24" width="7.7109375" style="0" customWidth="1"/>
    <col min="25" max="25" width="7.57421875" style="0" customWidth="1"/>
  </cols>
  <sheetData>
    <row r="1" spans="1:25" ht="33.75">
      <c r="A1" s="66" t="s">
        <v>12</v>
      </c>
      <c r="B1" s="68" t="s">
        <v>13</v>
      </c>
      <c r="C1" s="9" t="s">
        <v>14</v>
      </c>
      <c r="D1" s="9" t="s">
        <v>15</v>
      </c>
      <c r="E1" s="9" t="s">
        <v>16</v>
      </c>
      <c r="F1" s="9" t="s">
        <v>17</v>
      </c>
      <c r="G1" s="9" t="s">
        <v>18</v>
      </c>
      <c r="H1" s="9" t="s">
        <v>19</v>
      </c>
      <c r="I1" s="9" t="s">
        <v>15</v>
      </c>
      <c r="J1" s="9" t="s">
        <v>20</v>
      </c>
      <c r="K1" s="9" t="s">
        <v>17</v>
      </c>
      <c r="L1" s="9" t="s">
        <v>21</v>
      </c>
      <c r="M1" s="10" t="s">
        <v>22</v>
      </c>
      <c r="N1" s="9" t="s">
        <v>23</v>
      </c>
      <c r="O1" s="9" t="s">
        <v>24</v>
      </c>
      <c r="P1" s="9" t="s">
        <v>15</v>
      </c>
      <c r="Q1" s="9" t="s">
        <v>35</v>
      </c>
      <c r="R1" s="9" t="s">
        <v>25</v>
      </c>
      <c r="S1" s="9" t="s">
        <v>26</v>
      </c>
      <c r="T1" s="10" t="s">
        <v>15</v>
      </c>
      <c r="U1" s="9" t="s">
        <v>27</v>
      </c>
      <c r="V1" s="9" t="s">
        <v>15</v>
      </c>
      <c r="W1" s="9" t="s">
        <v>28</v>
      </c>
      <c r="X1" s="9" t="s">
        <v>17</v>
      </c>
      <c r="Y1" s="10" t="s">
        <v>29</v>
      </c>
    </row>
    <row r="2" spans="1:25" ht="12.75">
      <c r="A2" s="67"/>
      <c r="B2" s="69"/>
      <c r="C2" s="10" t="s">
        <v>30</v>
      </c>
      <c r="D2" s="10"/>
      <c r="E2" s="10" t="s">
        <v>30</v>
      </c>
      <c r="F2" s="10"/>
      <c r="G2" s="10" t="s">
        <v>30</v>
      </c>
      <c r="H2" s="10" t="s">
        <v>31</v>
      </c>
      <c r="I2" s="10"/>
      <c r="J2" s="10" t="s">
        <v>31</v>
      </c>
      <c r="K2" s="10"/>
      <c r="L2" s="10" t="s">
        <v>31</v>
      </c>
      <c r="M2" s="10" t="s">
        <v>32</v>
      </c>
      <c r="N2" s="10" t="s">
        <v>33</v>
      </c>
      <c r="O2" s="10" t="s">
        <v>42</v>
      </c>
      <c r="P2" s="10"/>
      <c r="Q2" s="10"/>
      <c r="R2" s="10" t="s">
        <v>34</v>
      </c>
      <c r="S2" s="10"/>
      <c r="T2" s="10"/>
      <c r="U2" s="10"/>
      <c r="V2" s="10"/>
      <c r="W2" s="10"/>
      <c r="X2" s="10"/>
      <c r="Y2" s="10" t="s">
        <v>32</v>
      </c>
    </row>
    <row r="3" spans="1:25" ht="12.75">
      <c r="A3" s="6">
        <v>2019</v>
      </c>
      <c r="B3" s="53">
        <v>43556</v>
      </c>
      <c r="C3" s="54">
        <v>31.7</v>
      </c>
      <c r="D3" s="46">
        <v>1537</v>
      </c>
      <c r="E3" s="54">
        <v>18.55</v>
      </c>
      <c r="F3" s="46">
        <v>622</v>
      </c>
      <c r="G3" s="46">
        <v>24.68</v>
      </c>
      <c r="H3" s="54">
        <v>82</v>
      </c>
      <c r="I3" s="46">
        <v>628</v>
      </c>
      <c r="J3" s="54">
        <v>32.7</v>
      </c>
      <c r="K3" s="46">
        <v>1533</v>
      </c>
      <c r="L3" s="54">
        <v>59.54</v>
      </c>
      <c r="M3" s="46">
        <v>0</v>
      </c>
      <c r="N3" s="46">
        <v>1.564</v>
      </c>
      <c r="O3" s="47">
        <f>5.15*3.6</f>
        <v>18.540000000000003</v>
      </c>
      <c r="P3" s="46">
        <v>1543</v>
      </c>
      <c r="Q3" s="44">
        <v>218.7</v>
      </c>
      <c r="R3" s="54">
        <v>8.56</v>
      </c>
      <c r="S3" s="44">
        <v>768</v>
      </c>
      <c r="T3" s="46">
        <v>1300</v>
      </c>
      <c r="U3" s="54">
        <v>29.86</v>
      </c>
      <c r="V3" s="46">
        <v>1111</v>
      </c>
      <c r="W3" s="54">
        <v>-39.98</v>
      </c>
      <c r="X3" s="46">
        <v>2230</v>
      </c>
      <c r="Y3" s="47">
        <v>2.406</v>
      </c>
    </row>
    <row r="4" spans="1:25" ht="12.75">
      <c r="A4" s="6">
        <v>2019</v>
      </c>
      <c r="B4" s="53">
        <v>43557</v>
      </c>
      <c r="C4" s="54">
        <v>31.1</v>
      </c>
      <c r="D4" s="46">
        <v>1519</v>
      </c>
      <c r="E4" s="54">
        <v>17.69</v>
      </c>
      <c r="F4" s="46">
        <v>634</v>
      </c>
      <c r="G4" s="54">
        <v>24.52</v>
      </c>
      <c r="H4" s="54">
        <v>90.5</v>
      </c>
      <c r="I4" s="46">
        <v>628</v>
      </c>
      <c r="J4" s="54">
        <v>37.21</v>
      </c>
      <c r="K4" s="46">
        <v>1228</v>
      </c>
      <c r="L4" s="54">
        <v>62.96</v>
      </c>
      <c r="M4" s="46">
        <v>0</v>
      </c>
      <c r="N4" s="46">
        <v>1.681</v>
      </c>
      <c r="O4" s="47">
        <f>4.625*3.6</f>
        <v>16.650000000000002</v>
      </c>
      <c r="P4" s="46">
        <v>757</v>
      </c>
      <c r="Q4" s="44">
        <v>101.6</v>
      </c>
      <c r="R4" s="54">
        <v>7.82</v>
      </c>
      <c r="S4" s="44">
        <v>709</v>
      </c>
      <c r="T4" s="46">
        <v>1223</v>
      </c>
      <c r="U4" s="54">
        <v>31.86</v>
      </c>
      <c r="V4" s="46">
        <v>1100</v>
      </c>
      <c r="W4" s="54">
        <v>-38.73</v>
      </c>
      <c r="X4" s="46">
        <v>2232</v>
      </c>
      <c r="Y4" s="47">
        <v>2.205</v>
      </c>
    </row>
    <row r="5" spans="1:25" ht="12.75">
      <c r="A5" s="6">
        <v>2019</v>
      </c>
      <c r="B5" s="53">
        <v>43558</v>
      </c>
      <c r="C5" s="54">
        <v>31.15</v>
      </c>
      <c r="D5" s="46">
        <v>1422</v>
      </c>
      <c r="E5" s="46">
        <v>19.61</v>
      </c>
      <c r="F5" s="46">
        <v>600</v>
      </c>
      <c r="G5" s="46">
        <v>25.07</v>
      </c>
      <c r="H5" s="54">
        <v>87.1</v>
      </c>
      <c r="I5" s="46">
        <v>558</v>
      </c>
      <c r="J5" s="54">
        <v>32.3</v>
      </c>
      <c r="K5" s="46">
        <v>1411</v>
      </c>
      <c r="L5" s="54">
        <v>60.28</v>
      </c>
      <c r="M5" s="56">
        <v>0</v>
      </c>
      <c r="N5" s="45">
        <v>0.958</v>
      </c>
      <c r="O5" s="45">
        <f>4.55*3.6</f>
        <v>16.38</v>
      </c>
      <c r="P5" s="46">
        <v>1407</v>
      </c>
      <c r="Q5" s="44">
        <v>180.4</v>
      </c>
      <c r="R5" s="46">
        <v>7.03</v>
      </c>
      <c r="S5" s="44">
        <v>739</v>
      </c>
      <c r="T5" s="46">
        <v>1154</v>
      </c>
      <c r="U5" s="46">
        <v>26.25</v>
      </c>
      <c r="V5" s="46">
        <v>1355</v>
      </c>
      <c r="W5" s="46">
        <v>-38.94</v>
      </c>
      <c r="X5" s="46">
        <v>2235</v>
      </c>
      <c r="Y5" s="47">
        <v>2.042</v>
      </c>
    </row>
    <row r="6" spans="1:25" ht="12.75">
      <c r="A6" s="6">
        <v>2019</v>
      </c>
      <c r="B6" s="53">
        <v>43559</v>
      </c>
      <c r="C6" s="54">
        <v>31.43</v>
      </c>
      <c r="D6" s="46">
        <v>1510</v>
      </c>
      <c r="E6" s="46">
        <v>19.08</v>
      </c>
      <c r="F6" s="46">
        <v>620</v>
      </c>
      <c r="G6" s="54">
        <v>25.85</v>
      </c>
      <c r="H6" s="54">
        <v>88.9</v>
      </c>
      <c r="I6" s="46">
        <v>349</v>
      </c>
      <c r="J6" s="54">
        <v>38.93</v>
      </c>
      <c r="K6" s="46">
        <v>1358</v>
      </c>
      <c r="L6" s="54">
        <v>64.06</v>
      </c>
      <c r="M6" s="46">
        <v>0</v>
      </c>
      <c r="N6" s="47">
        <v>0.692</v>
      </c>
      <c r="O6" s="47">
        <f>4.25*3.6</f>
        <v>15.3</v>
      </c>
      <c r="P6" s="46">
        <v>2139</v>
      </c>
      <c r="Q6" s="44">
        <v>295.1</v>
      </c>
      <c r="R6" s="54">
        <v>6.244</v>
      </c>
      <c r="S6" s="44">
        <v>723</v>
      </c>
      <c r="T6" s="46">
        <v>1119</v>
      </c>
      <c r="U6" s="54">
        <v>26.36</v>
      </c>
      <c r="V6" s="46">
        <v>1012</v>
      </c>
      <c r="W6" s="54">
        <v>-33.65</v>
      </c>
      <c r="X6" s="46">
        <v>2312</v>
      </c>
      <c r="Y6" s="47">
        <v>1.712</v>
      </c>
    </row>
    <row r="7" spans="1:25" ht="12.75">
      <c r="A7" s="6">
        <v>2019</v>
      </c>
      <c r="B7" s="53">
        <v>43560</v>
      </c>
      <c r="C7" s="54">
        <v>30.7</v>
      </c>
      <c r="D7" s="46">
        <v>1358</v>
      </c>
      <c r="E7" s="54">
        <v>21.07</v>
      </c>
      <c r="F7" s="46">
        <v>424</v>
      </c>
      <c r="G7" s="46">
        <v>25.56</v>
      </c>
      <c r="H7" s="54">
        <v>92.2</v>
      </c>
      <c r="I7" s="46">
        <v>549</v>
      </c>
      <c r="J7" s="54">
        <v>49.94</v>
      </c>
      <c r="K7" s="46">
        <v>1515</v>
      </c>
      <c r="L7" s="54">
        <v>72.6</v>
      </c>
      <c r="M7" s="46">
        <v>0</v>
      </c>
      <c r="N7" s="47">
        <v>1.302</v>
      </c>
      <c r="O7" s="47">
        <f>7.55*3.6</f>
        <v>27.18</v>
      </c>
      <c r="P7" s="46">
        <v>1231</v>
      </c>
      <c r="Q7" s="44">
        <v>287.1</v>
      </c>
      <c r="R7" s="54">
        <v>6.361</v>
      </c>
      <c r="S7" s="44">
        <v>772</v>
      </c>
      <c r="T7" s="46">
        <v>1253</v>
      </c>
      <c r="U7" s="54">
        <v>19.6</v>
      </c>
      <c r="V7" s="46">
        <v>1105</v>
      </c>
      <c r="W7" s="54">
        <v>-34.42</v>
      </c>
      <c r="X7" s="46">
        <v>2117</v>
      </c>
      <c r="Y7" s="47">
        <v>1.915</v>
      </c>
    </row>
    <row r="8" spans="1:25" ht="12.75">
      <c r="A8" s="6">
        <v>2019</v>
      </c>
      <c r="B8" s="53">
        <v>43561</v>
      </c>
      <c r="C8" s="46">
        <v>31.68</v>
      </c>
      <c r="D8" s="46">
        <v>1555</v>
      </c>
      <c r="E8" s="46">
        <v>20.34</v>
      </c>
      <c r="F8" s="46">
        <v>548</v>
      </c>
      <c r="G8" s="54">
        <v>25.08</v>
      </c>
      <c r="H8" s="54">
        <v>95.7</v>
      </c>
      <c r="I8" s="46">
        <v>601</v>
      </c>
      <c r="J8" s="54">
        <v>47.22</v>
      </c>
      <c r="K8" s="46">
        <v>1546</v>
      </c>
      <c r="L8" s="54">
        <v>77.4</v>
      </c>
      <c r="M8" s="46">
        <v>0</v>
      </c>
      <c r="N8" s="47">
        <v>1.292</v>
      </c>
      <c r="O8" s="47">
        <f>6.875*3.6</f>
        <v>24.75</v>
      </c>
      <c r="P8" s="46">
        <v>1648</v>
      </c>
      <c r="Q8" s="44">
        <v>14.03</v>
      </c>
      <c r="R8" s="54">
        <v>7.58</v>
      </c>
      <c r="S8" s="44">
        <v>754</v>
      </c>
      <c r="T8" s="46">
        <v>1313</v>
      </c>
      <c r="U8" s="54">
        <v>27.25</v>
      </c>
      <c r="V8" s="46">
        <v>1014</v>
      </c>
      <c r="W8" s="54">
        <v>-35.36</v>
      </c>
      <c r="X8" s="46">
        <v>2302</v>
      </c>
      <c r="Y8" s="47">
        <v>2.046</v>
      </c>
    </row>
    <row r="9" spans="1:25" ht="12.75">
      <c r="A9" s="6">
        <v>2019</v>
      </c>
      <c r="B9" s="53">
        <v>43562</v>
      </c>
      <c r="C9" s="54">
        <v>30.7</v>
      </c>
      <c r="D9" s="46">
        <v>1524</v>
      </c>
      <c r="E9" s="54">
        <v>20.66</v>
      </c>
      <c r="F9" s="46">
        <v>2119</v>
      </c>
      <c r="G9" s="46">
        <v>24.36</v>
      </c>
      <c r="H9" s="54">
        <v>96.1</v>
      </c>
      <c r="I9" s="46">
        <v>643</v>
      </c>
      <c r="J9" s="54">
        <v>48.95</v>
      </c>
      <c r="K9" s="46">
        <v>1529</v>
      </c>
      <c r="L9" s="54">
        <v>80.2</v>
      </c>
      <c r="M9" s="46">
        <v>3.2</v>
      </c>
      <c r="N9" s="47">
        <v>1.309</v>
      </c>
      <c r="O9" s="45">
        <f>8.22*3.6</f>
        <v>29.592000000000002</v>
      </c>
      <c r="P9" s="46">
        <v>1756</v>
      </c>
      <c r="Q9" s="44">
        <v>210</v>
      </c>
      <c r="R9" s="54">
        <v>6.298</v>
      </c>
      <c r="S9" s="44">
        <v>963</v>
      </c>
      <c r="T9" s="46">
        <v>1237</v>
      </c>
      <c r="U9" s="54">
        <v>19.43</v>
      </c>
      <c r="V9" s="46">
        <v>1305</v>
      </c>
      <c r="W9" s="46">
        <v>-41.12</v>
      </c>
      <c r="X9" s="46">
        <v>2211</v>
      </c>
      <c r="Y9" s="47">
        <v>1.61</v>
      </c>
    </row>
    <row r="10" spans="1:25" ht="12.75">
      <c r="A10" s="6">
        <v>2019</v>
      </c>
      <c r="B10" s="53">
        <v>43563</v>
      </c>
      <c r="C10" s="54">
        <v>24.36</v>
      </c>
      <c r="D10" s="46">
        <v>1634</v>
      </c>
      <c r="E10" s="54">
        <v>18.68</v>
      </c>
      <c r="F10" s="46">
        <v>527</v>
      </c>
      <c r="G10" s="54">
        <v>20.87</v>
      </c>
      <c r="H10" s="54">
        <v>98.2</v>
      </c>
      <c r="I10" s="46">
        <v>407</v>
      </c>
      <c r="J10" s="54">
        <v>78.8</v>
      </c>
      <c r="K10" s="46">
        <v>1632</v>
      </c>
      <c r="L10" s="54">
        <v>94.8</v>
      </c>
      <c r="M10" s="46">
        <v>59.8</v>
      </c>
      <c r="N10" s="47">
        <v>0.176</v>
      </c>
      <c r="O10" s="45">
        <f>8.52*3.6</f>
        <v>30.672</v>
      </c>
      <c r="P10" s="46">
        <v>111</v>
      </c>
      <c r="Q10" s="44">
        <v>13.67</v>
      </c>
      <c r="R10" s="54">
        <v>2.503</v>
      </c>
      <c r="S10" s="44">
        <v>346.4</v>
      </c>
      <c r="T10" s="46">
        <v>1447</v>
      </c>
      <c r="U10" s="54">
        <v>17.47</v>
      </c>
      <c r="V10" s="46">
        <v>1514</v>
      </c>
      <c r="W10" s="46">
        <v>-114.5</v>
      </c>
      <c r="X10" s="46">
        <v>34</v>
      </c>
      <c r="Y10" s="47">
        <v>0.377</v>
      </c>
    </row>
    <row r="11" spans="1:25" ht="12.75">
      <c r="A11" s="6">
        <v>2019</v>
      </c>
      <c r="B11" s="53">
        <v>43564</v>
      </c>
      <c r="C11" s="54">
        <v>25.35</v>
      </c>
      <c r="D11" s="46">
        <v>1553</v>
      </c>
      <c r="E11" s="54">
        <v>18.75</v>
      </c>
      <c r="F11" s="46">
        <v>2352</v>
      </c>
      <c r="G11" s="46">
        <v>21.43</v>
      </c>
      <c r="H11" s="54">
        <v>98</v>
      </c>
      <c r="I11" s="46">
        <v>543</v>
      </c>
      <c r="J11" s="54">
        <v>67.34</v>
      </c>
      <c r="K11" s="46">
        <v>1647</v>
      </c>
      <c r="L11" s="54">
        <v>87.3</v>
      </c>
      <c r="M11" s="46">
        <v>0.1</v>
      </c>
      <c r="N11" s="47">
        <v>0.022</v>
      </c>
      <c r="O11" s="45">
        <f>4.475*3.6</f>
        <v>16.11</v>
      </c>
      <c r="P11" s="46">
        <v>104</v>
      </c>
      <c r="Q11" s="44">
        <v>150.8</v>
      </c>
      <c r="R11" s="54">
        <v>3.92</v>
      </c>
      <c r="S11" s="44">
        <v>485.5</v>
      </c>
      <c r="T11" s="46">
        <v>1532</v>
      </c>
      <c r="U11" s="54">
        <v>20.29</v>
      </c>
      <c r="V11" s="46">
        <v>1449</v>
      </c>
      <c r="W11" s="54">
        <v>-20.83</v>
      </c>
      <c r="X11" s="46">
        <v>83</v>
      </c>
      <c r="Y11" s="47">
        <v>0.699</v>
      </c>
    </row>
    <row r="12" spans="1:25" ht="12.75">
      <c r="A12" s="6">
        <v>2019</v>
      </c>
      <c r="B12" s="53">
        <v>43565</v>
      </c>
      <c r="C12" s="54">
        <v>29.37</v>
      </c>
      <c r="D12" s="46">
        <v>1554</v>
      </c>
      <c r="E12" s="54">
        <v>16.76</v>
      </c>
      <c r="F12" s="46">
        <v>621</v>
      </c>
      <c r="G12" s="54">
        <v>22.02</v>
      </c>
      <c r="H12" s="54">
        <v>95.7</v>
      </c>
      <c r="I12" s="46">
        <v>645</v>
      </c>
      <c r="J12" s="54">
        <v>49.15</v>
      </c>
      <c r="K12" s="46">
        <v>1553</v>
      </c>
      <c r="L12" s="54">
        <v>78.8</v>
      </c>
      <c r="M12" s="46">
        <v>0</v>
      </c>
      <c r="N12" s="45">
        <v>0.445</v>
      </c>
      <c r="O12" s="47">
        <f>5.75*3.6</f>
        <v>20.7</v>
      </c>
      <c r="P12" s="46">
        <v>827</v>
      </c>
      <c r="Q12" s="44">
        <v>116.4</v>
      </c>
      <c r="R12" s="54">
        <v>9.11</v>
      </c>
      <c r="S12" s="44">
        <v>728</v>
      </c>
      <c r="T12" s="46">
        <v>1240</v>
      </c>
      <c r="U12" s="54">
        <v>55.07</v>
      </c>
      <c r="V12" s="46">
        <v>1242</v>
      </c>
      <c r="W12" s="54">
        <v>-37.2</v>
      </c>
      <c r="X12" s="46">
        <v>2013</v>
      </c>
      <c r="Y12" s="47">
        <v>1.823</v>
      </c>
    </row>
    <row r="13" spans="1:26" ht="12.75">
      <c r="A13" s="6">
        <v>2019</v>
      </c>
      <c r="B13" s="53">
        <v>43566</v>
      </c>
      <c r="C13" s="54">
        <v>29.97</v>
      </c>
      <c r="D13" s="46">
        <v>1456</v>
      </c>
      <c r="E13" s="46">
        <v>17.16</v>
      </c>
      <c r="F13" s="46">
        <v>629</v>
      </c>
      <c r="G13" s="54">
        <v>23.22</v>
      </c>
      <c r="H13" s="54">
        <v>95.4</v>
      </c>
      <c r="I13" s="46">
        <v>642</v>
      </c>
      <c r="J13" s="54">
        <v>50.47</v>
      </c>
      <c r="K13" s="46">
        <v>1500</v>
      </c>
      <c r="L13" s="54">
        <v>76.9</v>
      </c>
      <c r="M13" s="46">
        <v>0</v>
      </c>
      <c r="N13" s="47">
        <v>0.15</v>
      </c>
      <c r="O13" s="47">
        <f>6.125*3.6</f>
        <v>22.05</v>
      </c>
      <c r="P13" s="46">
        <v>1220</v>
      </c>
      <c r="Q13" s="44">
        <v>339.4</v>
      </c>
      <c r="R13" s="54">
        <v>8.18</v>
      </c>
      <c r="S13" s="44">
        <v>922</v>
      </c>
      <c r="T13" s="46">
        <v>1136</v>
      </c>
      <c r="U13" s="54">
        <v>45.52</v>
      </c>
      <c r="V13" s="46">
        <v>1150</v>
      </c>
      <c r="W13" s="46">
        <v>-34.77</v>
      </c>
      <c r="X13" s="46">
        <v>2108</v>
      </c>
      <c r="Y13" s="47">
        <v>1.638</v>
      </c>
      <c r="Z13" s="13"/>
    </row>
    <row r="14" spans="1:25" ht="12.75">
      <c r="A14" s="6">
        <v>2019</v>
      </c>
      <c r="B14" s="53">
        <v>43567</v>
      </c>
      <c r="C14" s="54">
        <v>31.36</v>
      </c>
      <c r="D14" s="46">
        <v>1635</v>
      </c>
      <c r="E14" s="46">
        <v>18.15</v>
      </c>
      <c r="F14" s="46">
        <v>627</v>
      </c>
      <c r="G14" s="54">
        <v>24.28</v>
      </c>
      <c r="H14" s="54">
        <v>97.6</v>
      </c>
      <c r="I14" s="46">
        <v>712</v>
      </c>
      <c r="J14" s="54">
        <v>43.18</v>
      </c>
      <c r="K14" s="46">
        <v>1636</v>
      </c>
      <c r="L14" s="54">
        <v>74.9</v>
      </c>
      <c r="M14" s="46">
        <v>0</v>
      </c>
      <c r="N14" s="47">
        <v>0.037</v>
      </c>
      <c r="O14" s="45">
        <f>4.625*3.6</f>
        <v>16.650000000000002</v>
      </c>
      <c r="P14" s="46">
        <v>1253</v>
      </c>
      <c r="Q14" s="44">
        <v>300.2</v>
      </c>
      <c r="R14" s="46">
        <v>8.07</v>
      </c>
      <c r="S14" s="44">
        <v>896</v>
      </c>
      <c r="T14" s="46">
        <v>1211</v>
      </c>
      <c r="U14" s="54">
        <v>45.16</v>
      </c>
      <c r="V14" s="46">
        <v>1126</v>
      </c>
      <c r="W14" s="54">
        <v>-33.51</v>
      </c>
      <c r="X14" s="46">
        <v>2316</v>
      </c>
      <c r="Y14" s="47">
        <v>1.65</v>
      </c>
    </row>
    <row r="15" spans="1:25" ht="12.75">
      <c r="A15" s="6">
        <v>2019</v>
      </c>
      <c r="B15" s="53">
        <v>43568</v>
      </c>
      <c r="C15" s="54">
        <v>28.31</v>
      </c>
      <c r="D15" s="46">
        <v>1408</v>
      </c>
      <c r="E15" s="54">
        <v>20.93</v>
      </c>
      <c r="F15" s="46">
        <v>2330</v>
      </c>
      <c r="G15" s="46">
        <v>23.83</v>
      </c>
      <c r="H15" s="54">
        <v>96.8</v>
      </c>
      <c r="I15" s="46">
        <v>2358</v>
      </c>
      <c r="J15" s="54">
        <v>63.07</v>
      </c>
      <c r="K15" s="46">
        <v>1406</v>
      </c>
      <c r="L15" s="54">
        <v>82.7</v>
      </c>
      <c r="M15" s="44">
        <v>3.9</v>
      </c>
      <c r="N15" s="47">
        <v>0.692</v>
      </c>
      <c r="O15" s="45">
        <f>5.15*3.6</f>
        <v>18.540000000000003</v>
      </c>
      <c r="P15" s="46">
        <v>1204</v>
      </c>
      <c r="Q15" s="44">
        <v>297.1</v>
      </c>
      <c r="R15" s="54">
        <v>5.352</v>
      </c>
      <c r="S15" s="44">
        <v>951</v>
      </c>
      <c r="T15" s="46">
        <v>1127</v>
      </c>
      <c r="U15" s="54">
        <v>31.1</v>
      </c>
      <c r="V15" s="46">
        <v>1204</v>
      </c>
      <c r="W15" s="54">
        <v>-33.86</v>
      </c>
      <c r="X15" s="46">
        <v>2144</v>
      </c>
      <c r="Y15" s="47">
        <v>1.183</v>
      </c>
    </row>
    <row r="16" spans="1:25" ht="12.75">
      <c r="A16" s="6">
        <v>2019</v>
      </c>
      <c r="B16" s="53">
        <v>43569</v>
      </c>
      <c r="C16" s="46">
        <v>25.96</v>
      </c>
      <c r="D16" s="46">
        <v>1424</v>
      </c>
      <c r="E16" s="54">
        <v>20.14</v>
      </c>
      <c r="F16" s="46">
        <v>2357</v>
      </c>
      <c r="G16" s="54">
        <v>21.89</v>
      </c>
      <c r="H16" s="54">
        <v>98.6</v>
      </c>
      <c r="I16" s="46">
        <v>803</v>
      </c>
      <c r="J16" s="54">
        <v>74.7</v>
      </c>
      <c r="K16" s="46">
        <v>1600</v>
      </c>
      <c r="L16" s="54">
        <v>93.1</v>
      </c>
      <c r="M16" s="46">
        <v>31.5</v>
      </c>
      <c r="N16" s="47">
        <v>0.211</v>
      </c>
      <c r="O16" s="45">
        <f>5.525*3.6</f>
        <v>19.89</v>
      </c>
      <c r="P16" s="46">
        <v>905</v>
      </c>
      <c r="Q16" s="44">
        <v>83.4</v>
      </c>
      <c r="R16" s="54">
        <v>2.767</v>
      </c>
      <c r="S16" s="44">
        <v>455.9</v>
      </c>
      <c r="T16" s="46">
        <v>1418</v>
      </c>
      <c r="U16" s="54">
        <v>27.72</v>
      </c>
      <c r="V16" s="46">
        <v>1443</v>
      </c>
      <c r="W16" s="54">
        <v>-47.89</v>
      </c>
      <c r="X16" s="46">
        <v>412</v>
      </c>
      <c r="Y16" s="47">
        <v>0.453</v>
      </c>
    </row>
    <row r="17" spans="1:25" ht="12.75">
      <c r="A17" s="6">
        <v>2019</v>
      </c>
      <c r="B17" s="53">
        <v>43570</v>
      </c>
      <c r="C17" s="46">
        <v>29.31</v>
      </c>
      <c r="D17" s="46">
        <v>1608</v>
      </c>
      <c r="E17" s="54">
        <v>18.21</v>
      </c>
      <c r="F17" s="46">
        <v>445</v>
      </c>
      <c r="G17" s="54">
        <v>23.05</v>
      </c>
      <c r="H17" s="54">
        <v>98.3</v>
      </c>
      <c r="I17" s="46">
        <v>638</v>
      </c>
      <c r="J17" s="54">
        <v>54.78</v>
      </c>
      <c r="K17" s="46">
        <v>1615</v>
      </c>
      <c r="L17" s="54">
        <v>83.8</v>
      </c>
      <c r="M17" s="56">
        <v>0</v>
      </c>
      <c r="N17" s="47">
        <v>0.029</v>
      </c>
      <c r="O17" s="45">
        <f>3.95*3.6</f>
        <v>14.22</v>
      </c>
      <c r="P17" s="46">
        <v>1320</v>
      </c>
      <c r="Q17" s="44">
        <v>0.188</v>
      </c>
      <c r="R17" s="54">
        <v>6.609</v>
      </c>
      <c r="S17" s="44">
        <v>895</v>
      </c>
      <c r="T17" s="46">
        <v>1202</v>
      </c>
      <c r="U17" s="54">
        <v>53.58</v>
      </c>
      <c r="V17" s="46">
        <v>1203</v>
      </c>
      <c r="W17" s="54">
        <v>-28.12</v>
      </c>
      <c r="X17" s="46">
        <v>1949</v>
      </c>
      <c r="Y17" s="47">
        <v>1.263</v>
      </c>
    </row>
    <row r="18" spans="1:25" ht="12.75">
      <c r="A18" s="6">
        <v>2019</v>
      </c>
      <c r="B18" s="53">
        <v>43571</v>
      </c>
      <c r="C18" s="54">
        <v>30.04</v>
      </c>
      <c r="D18" s="46">
        <v>1518</v>
      </c>
      <c r="E18" s="54">
        <v>19.01</v>
      </c>
      <c r="F18" s="46">
        <v>547</v>
      </c>
      <c r="G18" s="54">
        <v>23.52</v>
      </c>
      <c r="H18" s="54">
        <v>98.3</v>
      </c>
      <c r="I18" s="46">
        <v>630</v>
      </c>
      <c r="J18" s="54">
        <v>51.27</v>
      </c>
      <c r="K18" s="46">
        <v>1519</v>
      </c>
      <c r="L18" s="54">
        <v>82.2</v>
      </c>
      <c r="M18" s="46">
        <v>14.3</v>
      </c>
      <c r="N18" s="47">
        <v>0.218</v>
      </c>
      <c r="O18" s="45">
        <f>6.35*3.6</f>
        <v>22.86</v>
      </c>
      <c r="P18" s="46">
        <v>1746</v>
      </c>
      <c r="Q18" s="44">
        <v>305.7</v>
      </c>
      <c r="R18" s="54">
        <v>7.06</v>
      </c>
      <c r="S18" s="44">
        <v>857</v>
      </c>
      <c r="T18" s="46">
        <v>1154</v>
      </c>
      <c r="U18" s="54">
        <v>42.26</v>
      </c>
      <c r="V18" s="46">
        <v>1113</v>
      </c>
      <c r="W18" s="54">
        <v>-46.11</v>
      </c>
      <c r="X18" s="46">
        <v>1944</v>
      </c>
      <c r="Y18" s="47">
        <v>1.448</v>
      </c>
    </row>
    <row r="19" spans="1:25" ht="12.75">
      <c r="A19" s="6">
        <v>2019</v>
      </c>
      <c r="B19" s="53">
        <v>43572</v>
      </c>
      <c r="C19" s="54">
        <v>29.24</v>
      </c>
      <c r="D19" s="46">
        <v>1349</v>
      </c>
      <c r="E19" s="54">
        <v>18.61</v>
      </c>
      <c r="F19" s="46">
        <v>437</v>
      </c>
      <c r="G19" s="54">
        <v>23.06</v>
      </c>
      <c r="H19" s="54">
        <v>97.38</v>
      </c>
      <c r="I19" s="46">
        <v>2312</v>
      </c>
      <c r="J19" s="54">
        <v>50.61</v>
      </c>
      <c r="K19" s="46">
        <v>1535</v>
      </c>
      <c r="L19" s="54">
        <v>81.9</v>
      </c>
      <c r="M19" s="46">
        <v>0.2</v>
      </c>
      <c r="N19" s="45">
        <v>0.128</v>
      </c>
      <c r="O19" s="47">
        <f>4.25*3.6</f>
        <v>15.3</v>
      </c>
      <c r="P19" s="46">
        <v>1413</v>
      </c>
      <c r="Q19" s="44">
        <v>244.9</v>
      </c>
      <c r="R19" s="54">
        <v>6.977</v>
      </c>
      <c r="S19" s="44">
        <v>907</v>
      </c>
      <c r="T19" s="46">
        <v>1155</v>
      </c>
      <c r="U19" s="54">
        <v>45.31</v>
      </c>
      <c r="V19" s="46">
        <v>1142</v>
      </c>
      <c r="W19" s="54">
        <v>-35.29</v>
      </c>
      <c r="X19" s="46">
        <v>2147</v>
      </c>
      <c r="Y19" s="47">
        <v>1.372</v>
      </c>
    </row>
    <row r="20" spans="1:25" ht="12.75">
      <c r="A20" s="6">
        <v>2019</v>
      </c>
      <c r="B20" s="53">
        <v>43573</v>
      </c>
      <c r="C20" s="54">
        <v>29.24</v>
      </c>
      <c r="D20" s="46">
        <v>1436</v>
      </c>
      <c r="E20" s="54">
        <v>16.63</v>
      </c>
      <c r="F20" s="46">
        <v>536</v>
      </c>
      <c r="G20" s="46">
        <v>22.87</v>
      </c>
      <c r="H20" s="54">
        <v>96.45</v>
      </c>
      <c r="I20" s="46">
        <v>659</v>
      </c>
      <c r="J20" s="46">
        <v>27.59</v>
      </c>
      <c r="K20" s="46">
        <v>1444</v>
      </c>
      <c r="L20" s="54">
        <v>67.52</v>
      </c>
      <c r="M20" s="46">
        <v>0</v>
      </c>
      <c r="N20" s="47">
        <v>0.46</v>
      </c>
      <c r="O20" s="45">
        <f>6.35*3.6</f>
        <v>22.86</v>
      </c>
      <c r="P20" s="46">
        <v>1235</v>
      </c>
      <c r="Q20" s="44">
        <v>230.4</v>
      </c>
      <c r="R20" s="46">
        <v>8.72</v>
      </c>
      <c r="S20" s="44">
        <v>734</v>
      </c>
      <c r="T20" s="46">
        <v>1250</v>
      </c>
      <c r="U20" s="54">
        <v>41.74</v>
      </c>
      <c r="V20" s="46">
        <v>1118</v>
      </c>
      <c r="W20" s="46">
        <v>-41.64</v>
      </c>
      <c r="X20" s="46">
        <v>2002</v>
      </c>
      <c r="Y20" s="47">
        <v>2.173</v>
      </c>
    </row>
    <row r="21" spans="1:25" ht="12.75">
      <c r="A21" s="6">
        <v>2019</v>
      </c>
      <c r="B21" s="53">
        <v>43574</v>
      </c>
      <c r="C21" s="46">
        <v>28.71</v>
      </c>
      <c r="D21" s="46">
        <v>1601</v>
      </c>
      <c r="E21" s="46">
        <v>13.65</v>
      </c>
      <c r="F21" s="46">
        <v>625</v>
      </c>
      <c r="G21" s="54">
        <v>21.06</v>
      </c>
      <c r="H21" s="54">
        <v>92</v>
      </c>
      <c r="I21" s="46">
        <v>458</v>
      </c>
      <c r="J21" s="54">
        <v>26.13</v>
      </c>
      <c r="K21" s="46">
        <v>1513</v>
      </c>
      <c r="L21" s="54">
        <v>61.64</v>
      </c>
      <c r="M21" s="46">
        <v>0</v>
      </c>
      <c r="N21" s="47">
        <v>0.077</v>
      </c>
      <c r="O21" s="45">
        <f>4.1*3.6</f>
        <v>14.76</v>
      </c>
      <c r="P21" s="46">
        <v>1408</v>
      </c>
      <c r="Q21" s="44">
        <v>206.4</v>
      </c>
      <c r="R21" s="54">
        <v>9.12</v>
      </c>
      <c r="S21" s="44">
        <v>706</v>
      </c>
      <c r="T21" s="46">
        <v>1150</v>
      </c>
      <c r="U21" s="54">
        <v>44.11</v>
      </c>
      <c r="V21" s="46">
        <v>1242</v>
      </c>
      <c r="W21" s="54">
        <v>-38.06</v>
      </c>
      <c r="X21" s="46">
        <v>1857</v>
      </c>
      <c r="Y21" s="46">
        <v>1.828</v>
      </c>
    </row>
    <row r="22" spans="1:25" ht="12.75">
      <c r="A22" s="6">
        <v>2019</v>
      </c>
      <c r="B22" s="53">
        <v>43575</v>
      </c>
      <c r="C22" s="46">
        <v>29.91</v>
      </c>
      <c r="D22" s="46">
        <v>1501</v>
      </c>
      <c r="E22" s="46">
        <v>14.12</v>
      </c>
      <c r="F22" s="46">
        <v>406</v>
      </c>
      <c r="G22" s="54">
        <v>21.68</v>
      </c>
      <c r="H22" s="54">
        <v>93</v>
      </c>
      <c r="I22" s="46">
        <v>428</v>
      </c>
      <c r="J22" s="54">
        <v>25.8</v>
      </c>
      <c r="K22" s="46">
        <v>1428</v>
      </c>
      <c r="L22" s="54">
        <v>63.61</v>
      </c>
      <c r="M22" s="46">
        <v>0</v>
      </c>
      <c r="N22" s="47">
        <v>0.002</v>
      </c>
      <c r="O22" s="45">
        <f>1.925*3.6</f>
        <v>6.930000000000001</v>
      </c>
      <c r="P22" s="46">
        <v>853</v>
      </c>
      <c r="Q22" s="44">
        <v>60.87</v>
      </c>
      <c r="R22" s="54">
        <v>8.66</v>
      </c>
      <c r="S22" s="44">
        <v>677.7</v>
      </c>
      <c r="T22" s="46">
        <v>1243</v>
      </c>
      <c r="U22" s="54">
        <v>48.7</v>
      </c>
      <c r="V22" s="46">
        <v>1300</v>
      </c>
      <c r="W22" s="46">
        <v>-32.45</v>
      </c>
      <c r="X22" s="46">
        <v>1855</v>
      </c>
      <c r="Y22" s="45">
        <v>1.768</v>
      </c>
    </row>
    <row r="23" spans="1:25" ht="12.75">
      <c r="A23" s="6">
        <v>2019</v>
      </c>
      <c r="B23" s="53">
        <v>43576</v>
      </c>
      <c r="C23" s="46">
        <v>32.16</v>
      </c>
      <c r="D23" s="46">
        <v>1604</v>
      </c>
      <c r="E23" s="46">
        <v>15.58</v>
      </c>
      <c r="F23" s="46">
        <v>603</v>
      </c>
      <c r="G23" s="54">
        <v>22.93</v>
      </c>
      <c r="H23" s="54">
        <v>89</v>
      </c>
      <c r="I23" s="46">
        <v>607</v>
      </c>
      <c r="J23" s="54">
        <v>30.58</v>
      </c>
      <c r="K23" s="46">
        <v>1605</v>
      </c>
      <c r="L23" s="54">
        <v>62.54</v>
      </c>
      <c r="M23" s="46">
        <v>0</v>
      </c>
      <c r="N23" s="45">
        <v>0.034</v>
      </c>
      <c r="O23" s="45">
        <f>4.55*3.6</f>
        <v>16.38</v>
      </c>
      <c r="P23" s="46">
        <v>1138</v>
      </c>
      <c r="Q23" s="44">
        <v>56.9</v>
      </c>
      <c r="R23" s="54">
        <v>8.4</v>
      </c>
      <c r="S23" s="44">
        <v>646.3</v>
      </c>
      <c r="T23" s="46">
        <v>1220</v>
      </c>
      <c r="U23" s="54">
        <v>45.65</v>
      </c>
      <c r="V23" s="46">
        <v>1258</v>
      </c>
      <c r="W23" s="54">
        <v>-33.05</v>
      </c>
      <c r="X23" s="46">
        <v>1922</v>
      </c>
      <c r="Y23" s="45">
        <v>1.773</v>
      </c>
    </row>
    <row r="24" spans="1:25" ht="12.75">
      <c r="A24" s="6">
        <v>2019</v>
      </c>
      <c r="B24" s="53">
        <v>43577</v>
      </c>
      <c r="C24" s="6">
        <v>31.97</v>
      </c>
      <c r="D24" s="46">
        <v>1539</v>
      </c>
      <c r="E24" s="6">
        <v>11.95</v>
      </c>
      <c r="F24" s="46">
        <v>628</v>
      </c>
      <c r="G24" s="54">
        <f>AVERAGE(C24,E24)</f>
        <v>21.96</v>
      </c>
      <c r="H24" s="37">
        <v>93.8</v>
      </c>
      <c r="I24" s="46">
        <v>659</v>
      </c>
      <c r="J24" s="6">
        <v>28.61</v>
      </c>
      <c r="K24" s="46">
        <v>1306</v>
      </c>
      <c r="L24" s="54">
        <f>AVERAGE(H24,J24)</f>
        <v>61.205</v>
      </c>
      <c r="M24" s="46">
        <v>0</v>
      </c>
      <c r="N24" s="47">
        <v>0.589</v>
      </c>
      <c r="O24" s="47">
        <f>4.4*3.6</f>
        <v>15.840000000000002</v>
      </c>
      <c r="P24" s="46">
        <v>1146</v>
      </c>
      <c r="Q24" s="44">
        <v>111.5</v>
      </c>
      <c r="R24" s="46">
        <v>14.73</v>
      </c>
      <c r="S24" s="44"/>
      <c r="T24" s="46"/>
      <c r="U24" s="46"/>
      <c r="V24" s="46"/>
      <c r="W24" s="46"/>
      <c r="X24" s="46"/>
      <c r="Y24" s="47">
        <v>1.504</v>
      </c>
    </row>
    <row r="25" spans="1:26" ht="12.75">
      <c r="A25" s="6">
        <v>2019</v>
      </c>
      <c r="B25" s="53">
        <v>43578</v>
      </c>
      <c r="C25" s="6">
        <v>31.71</v>
      </c>
      <c r="D25" s="46">
        <v>1448</v>
      </c>
      <c r="E25" s="6">
        <v>13.55</v>
      </c>
      <c r="F25" s="46">
        <v>700</v>
      </c>
      <c r="G25" s="54">
        <f aca="true" t="shared" si="0" ref="G25:G32">AVERAGE(C25,E25)</f>
        <v>22.630000000000003</v>
      </c>
      <c r="H25" s="37">
        <v>93.8</v>
      </c>
      <c r="I25" s="46">
        <v>701</v>
      </c>
      <c r="J25" s="6">
        <v>30.87</v>
      </c>
      <c r="K25" s="46">
        <v>1438</v>
      </c>
      <c r="L25" s="54">
        <f aca="true" t="shared" si="1" ref="L25:L32">AVERAGE(H25,J25)</f>
        <v>62.335</v>
      </c>
      <c r="M25" s="46">
        <v>0</v>
      </c>
      <c r="N25" s="46">
        <v>0.678</v>
      </c>
      <c r="O25" s="47">
        <f>5.8*3.6</f>
        <v>20.88</v>
      </c>
      <c r="P25" s="46">
        <v>1328</v>
      </c>
      <c r="Q25" s="44">
        <v>283.3</v>
      </c>
      <c r="R25" s="54">
        <v>19.93</v>
      </c>
      <c r="S25" s="44"/>
      <c r="T25" s="46"/>
      <c r="U25" s="54"/>
      <c r="V25" s="46"/>
      <c r="W25" s="54"/>
      <c r="X25" s="46"/>
      <c r="Y25" s="47">
        <v>1.689</v>
      </c>
      <c r="Z25" s="32"/>
    </row>
    <row r="26" spans="1:25" ht="12.75">
      <c r="A26" s="6">
        <v>2019</v>
      </c>
      <c r="B26" s="53">
        <v>43579</v>
      </c>
      <c r="C26" s="6">
        <v>30.25</v>
      </c>
      <c r="D26" s="46">
        <v>1604</v>
      </c>
      <c r="E26" s="6">
        <v>16.79</v>
      </c>
      <c r="F26" s="46">
        <v>631</v>
      </c>
      <c r="G26" s="54">
        <f t="shared" si="0"/>
        <v>23.52</v>
      </c>
      <c r="H26" s="37">
        <v>92.5</v>
      </c>
      <c r="I26" s="46">
        <v>653</v>
      </c>
      <c r="J26" s="6">
        <v>47.23</v>
      </c>
      <c r="K26" s="46">
        <v>1609</v>
      </c>
      <c r="L26" s="54">
        <f t="shared" si="1"/>
        <v>69.865</v>
      </c>
      <c r="M26" s="46">
        <v>0</v>
      </c>
      <c r="N26" s="46">
        <v>0.105</v>
      </c>
      <c r="O26" s="47">
        <f>3.15*3.6</f>
        <v>11.34</v>
      </c>
      <c r="P26" s="46">
        <v>1132</v>
      </c>
      <c r="Q26" s="44">
        <v>52.09</v>
      </c>
      <c r="R26" s="46">
        <v>41.41</v>
      </c>
      <c r="S26" s="44"/>
      <c r="T26" s="46"/>
      <c r="U26" s="54"/>
      <c r="V26" s="46"/>
      <c r="W26" s="54"/>
      <c r="X26" s="46"/>
      <c r="Y26" s="47">
        <v>1.763</v>
      </c>
    </row>
    <row r="27" spans="1:25" ht="12.75">
      <c r="A27" s="6">
        <v>2019</v>
      </c>
      <c r="B27" s="53">
        <v>43580</v>
      </c>
      <c r="C27" s="6">
        <v>31.71</v>
      </c>
      <c r="D27" s="46">
        <v>1518</v>
      </c>
      <c r="E27" s="6">
        <v>15.93</v>
      </c>
      <c r="F27" s="46">
        <v>702</v>
      </c>
      <c r="G27" s="54">
        <f t="shared" si="0"/>
        <v>23.82</v>
      </c>
      <c r="H27" s="37">
        <v>93.1</v>
      </c>
      <c r="I27" s="46">
        <v>637</v>
      </c>
      <c r="J27" s="6">
        <v>40.64</v>
      </c>
      <c r="K27" s="46">
        <v>1603</v>
      </c>
      <c r="L27" s="54">
        <f t="shared" si="1"/>
        <v>66.87</v>
      </c>
      <c r="M27" s="46">
        <v>2.5</v>
      </c>
      <c r="N27" s="45">
        <v>0.423</v>
      </c>
      <c r="O27" s="45">
        <f>4.225*3.6</f>
        <v>15.209999999999999</v>
      </c>
      <c r="P27" s="46">
        <v>1050</v>
      </c>
      <c r="Q27" s="44">
        <v>80.8</v>
      </c>
      <c r="R27" s="54">
        <v>8.84</v>
      </c>
      <c r="S27" s="44"/>
      <c r="T27" s="46"/>
      <c r="U27" s="54"/>
      <c r="V27" s="46"/>
      <c r="W27" s="46"/>
      <c r="X27" s="46"/>
      <c r="Y27" s="45">
        <v>0.562</v>
      </c>
    </row>
    <row r="28" spans="1:25" ht="12.75">
      <c r="A28" s="6">
        <v>2019</v>
      </c>
      <c r="B28" s="53">
        <v>43581</v>
      </c>
      <c r="C28" s="6">
        <v>31.31</v>
      </c>
      <c r="D28" s="46">
        <v>1503</v>
      </c>
      <c r="E28" s="6">
        <v>16.66</v>
      </c>
      <c r="F28" s="46">
        <v>553</v>
      </c>
      <c r="G28" s="54">
        <f t="shared" si="0"/>
        <v>23.985</v>
      </c>
      <c r="H28" s="37">
        <v>93.6</v>
      </c>
      <c r="I28" s="46">
        <v>603</v>
      </c>
      <c r="J28" s="6">
        <v>39.11</v>
      </c>
      <c r="K28" s="46">
        <v>1641</v>
      </c>
      <c r="L28" s="54">
        <f t="shared" si="1"/>
        <v>66.35499999999999</v>
      </c>
      <c r="M28" s="46">
        <v>0</v>
      </c>
      <c r="N28" s="45">
        <v>0.745</v>
      </c>
      <c r="O28" s="47">
        <f>5.25*3.6</f>
        <v>18.900000000000002</v>
      </c>
      <c r="P28" s="46">
        <v>1047</v>
      </c>
      <c r="Q28" s="44">
        <v>85</v>
      </c>
      <c r="R28" s="54">
        <v>9.3</v>
      </c>
      <c r="S28" s="44"/>
      <c r="T28" s="46"/>
      <c r="U28" s="54"/>
      <c r="V28" s="46"/>
      <c r="W28" s="46"/>
      <c r="X28" s="46"/>
      <c r="Y28" s="45">
        <v>1.741</v>
      </c>
    </row>
    <row r="29" spans="1:25" ht="12.75">
      <c r="A29" s="6">
        <v>2019</v>
      </c>
      <c r="B29" s="53">
        <v>43582</v>
      </c>
      <c r="C29" s="6">
        <v>32.16</v>
      </c>
      <c r="D29" s="46">
        <v>1555</v>
      </c>
      <c r="E29" s="37">
        <v>15.2</v>
      </c>
      <c r="F29" s="46">
        <v>615</v>
      </c>
      <c r="G29" s="54">
        <f t="shared" si="0"/>
        <v>23.68</v>
      </c>
      <c r="H29" s="37">
        <v>93.6</v>
      </c>
      <c r="I29" s="46">
        <v>656</v>
      </c>
      <c r="J29" s="6">
        <v>34.99</v>
      </c>
      <c r="K29" s="46">
        <v>1549</v>
      </c>
      <c r="L29" s="54">
        <f t="shared" si="1"/>
        <v>64.295</v>
      </c>
      <c r="M29" s="56">
        <v>0</v>
      </c>
      <c r="N29" s="45">
        <v>0.556</v>
      </c>
      <c r="O29" s="47">
        <f>4.7*3.6</f>
        <v>16.92</v>
      </c>
      <c r="P29" s="46">
        <v>2303</v>
      </c>
      <c r="Q29" s="44">
        <v>45.44</v>
      </c>
      <c r="R29" s="54">
        <v>10.59</v>
      </c>
      <c r="S29" s="44"/>
      <c r="T29" s="46"/>
      <c r="U29" s="54"/>
      <c r="V29" s="46"/>
      <c r="W29" s="54"/>
      <c r="X29" s="46"/>
      <c r="Y29" s="45">
        <v>1.817</v>
      </c>
    </row>
    <row r="30" spans="1:25" ht="12.75">
      <c r="A30" s="6">
        <v>2019</v>
      </c>
      <c r="B30" s="53">
        <v>43583</v>
      </c>
      <c r="C30" s="6">
        <v>31.45</v>
      </c>
      <c r="D30" s="46">
        <v>1512</v>
      </c>
      <c r="E30" s="6">
        <v>15.01</v>
      </c>
      <c r="F30" s="46">
        <v>702</v>
      </c>
      <c r="G30" s="54">
        <f t="shared" si="0"/>
        <v>23.23</v>
      </c>
      <c r="H30" s="37">
        <v>93.5</v>
      </c>
      <c r="I30" s="46">
        <v>724</v>
      </c>
      <c r="J30" s="6">
        <v>34.72</v>
      </c>
      <c r="K30" s="46">
        <v>1448</v>
      </c>
      <c r="L30" s="54">
        <f t="shared" si="1"/>
        <v>64.11</v>
      </c>
      <c r="M30" s="56">
        <v>0</v>
      </c>
      <c r="N30" s="46">
        <v>0.823</v>
      </c>
      <c r="O30" s="47">
        <f>5.4*3.6</f>
        <v>19.44</v>
      </c>
      <c r="P30" s="46">
        <v>930</v>
      </c>
      <c r="Q30" s="44">
        <v>73.1</v>
      </c>
      <c r="R30" s="54">
        <v>13.65</v>
      </c>
      <c r="S30" s="44"/>
      <c r="T30" s="46"/>
      <c r="U30" s="54"/>
      <c r="V30" s="46"/>
      <c r="W30" s="54"/>
      <c r="X30" s="46"/>
      <c r="Y30" s="47">
        <v>1.779</v>
      </c>
    </row>
    <row r="31" spans="1:25" ht="12.75">
      <c r="A31" s="6">
        <v>2019</v>
      </c>
      <c r="B31" s="53">
        <v>43584</v>
      </c>
      <c r="C31" s="6">
        <v>31.58</v>
      </c>
      <c r="D31" s="46">
        <v>1401</v>
      </c>
      <c r="E31" s="6">
        <v>17.19</v>
      </c>
      <c r="F31" s="46">
        <v>418</v>
      </c>
      <c r="G31" s="54">
        <f t="shared" si="0"/>
        <v>24.384999999999998</v>
      </c>
      <c r="H31" s="37">
        <v>93.4</v>
      </c>
      <c r="I31" s="46">
        <v>657</v>
      </c>
      <c r="J31" s="6">
        <v>40.58</v>
      </c>
      <c r="K31" s="46">
        <v>1429</v>
      </c>
      <c r="L31" s="54">
        <f t="shared" si="1"/>
        <v>66.99000000000001</v>
      </c>
      <c r="M31" s="46">
        <v>0</v>
      </c>
      <c r="N31" s="47">
        <v>0.946</v>
      </c>
      <c r="O31" s="45">
        <f>6.675*3.6</f>
        <v>24.03</v>
      </c>
      <c r="P31" s="46">
        <v>1522</v>
      </c>
      <c r="Q31" s="44">
        <v>307.2</v>
      </c>
      <c r="R31" s="54">
        <v>9.18</v>
      </c>
      <c r="S31" s="44"/>
      <c r="T31" s="46"/>
      <c r="U31" s="54"/>
      <c r="V31" s="46"/>
      <c r="W31" s="54"/>
      <c r="X31" s="46"/>
      <c r="Y31" s="47">
        <v>1.665</v>
      </c>
    </row>
    <row r="32" spans="1:25" ht="12.75">
      <c r="A32" s="6">
        <v>2019</v>
      </c>
      <c r="B32" s="53">
        <v>43585</v>
      </c>
      <c r="C32" s="6">
        <v>28.19</v>
      </c>
      <c r="D32" s="46">
        <v>1449</v>
      </c>
      <c r="E32" s="6">
        <v>11.75</v>
      </c>
      <c r="F32" s="46">
        <v>652</v>
      </c>
      <c r="G32" s="54">
        <f t="shared" si="0"/>
        <v>19.97</v>
      </c>
      <c r="H32" s="37">
        <v>94</v>
      </c>
      <c r="I32" s="46">
        <v>612</v>
      </c>
      <c r="J32" s="6">
        <v>42.84</v>
      </c>
      <c r="K32" s="46">
        <v>1451</v>
      </c>
      <c r="L32" s="54">
        <f t="shared" si="1"/>
        <v>68.42</v>
      </c>
      <c r="M32" s="46">
        <v>0.5</v>
      </c>
      <c r="N32" s="47">
        <v>0.374</v>
      </c>
      <c r="O32" s="45">
        <f>4.675*3.6</f>
        <v>16.83</v>
      </c>
      <c r="P32" s="46">
        <v>1416</v>
      </c>
      <c r="Q32" s="44">
        <v>279.4</v>
      </c>
      <c r="R32" s="54">
        <v>7.85</v>
      </c>
      <c r="S32" s="44"/>
      <c r="T32" s="46"/>
      <c r="U32" s="54"/>
      <c r="V32" s="46"/>
      <c r="W32" s="54"/>
      <c r="X32" s="46"/>
      <c r="Y32" s="47">
        <v>0.703</v>
      </c>
    </row>
    <row r="33" spans="2:25" ht="12.75">
      <c r="B33" s="57"/>
      <c r="C33" s="58">
        <f>AVERAGE(C3:C32)</f>
        <v>30.06933333333334</v>
      </c>
      <c r="D33" s="59"/>
      <c r="E33" s="58">
        <f>AVERAGE(E3:E32)</f>
        <v>17.247</v>
      </c>
      <c r="F33" s="59"/>
      <c r="G33" s="58">
        <f>AVERAGE(G3:G32)</f>
        <v>23.267000000000003</v>
      </c>
      <c r="H33" s="58">
        <f>AVERAGE(H3:H32)</f>
        <v>93.951</v>
      </c>
      <c r="I33" s="59"/>
      <c r="J33" s="58">
        <f>AVERAGE(J3:J32)</f>
        <v>44.01033333333333</v>
      </c>
      <c r="K33" s="59"/>
      <c r="L33" s="58">
        <f>AVERAGE(L3:L32)</f>
        <v>71.97316666666667</v>
      </c>
      <c r="M33" s="41">
        <f>SUM(M3:M32)</f>
        <v>116</v>
      </c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41">
        <f>SUM(Y3:Y32)</f>
        <v>46.60699999999999</v>
      </c>
    </row>
  </sheetData>
  <sheetProtection/>
  <mergeCells count="2">
    <mergeCell ref="A1:A2"/>
    <mergeCell ref="B1:B2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35"/>
  <sheetViews>
    <sheetView view="pageBreakPreview" zoomScale="75" zoomScaleSheetLayoutView="75" zoomScalePageLayoutView="0" workbookViewId="0" topLeftCell="B2">
      <selection activeCell="K26" sqref="K26"/>
    </sheetView>
  </sheetViews>
  <sheetFormatPr defaultColWidth="9.140625" defaultRowHeight="12.75"/>
  <cols>
    <col min="1" max="1" width="7.140625" style="0" customWidth="1"/>
    <col min="2" max="2" width="8.28125" style="0" customWidth="1"/>
    <col min="3" max="3" width="9.7109375" style="0" customWidth="1"/>
    <col min="5" max="5" width="9.7109375" style="0" customWidth="1"/>
    <col min="6" max="6" width="8.28125" style="0" customWidth="1"/>
    <col min="7" max="7" width="9.7109375" style="0" customWidth="1"/>
    <col min="9" max="9" width="7.28125" style="0" customWidth="1"/>
    <col min="11" max="11" width="7.140625" style="0" customWidth="1"/>
    <col min="13" max="13" width="7.28125" style="0" customWidth="1"/>
    <col min="15" max="15" width="10.8515625" style="0" customWidth="1"/>
    <col min="16" max="16" width="7.7109375" style="0" customWidth="1"/>
    <col min="17" max="17" width="7.8515625" style="0" customWidth="1"/>
    <col min="18" max="18" width="8.00390625" style="0" customWidth="1"/>
    <col min="20" max="20" width="8.7109375" style="0" customWidth="1"/>
    <col min="21" max="21" width="8.140625" style="0" customWidth="1"/>
    <col min="22" max="22" width="7.00390625" style="0" customWidth="1"/>
    <col min="23" max="24" width="7.7109375" style="0" customWidth="1"/>
    <col min="25" max="25" width="7.57421875" style="0" customWidth="1"/>
  </cols>
  <sheetData>
    <row r="1" spans="1:5" ht="12.75">
      <c r="A1" s="65">
        <v>39448</v>
      </c>
      <c r="B1" s="65"/>
      <c r="C1" s="8">
        <v>1</v>
      </c>
      <c r="E1">
        <v>3.6</v>
      </c>
    </row>
    <row r="2" spans="1:25" ht="33.75">
      <c r="A2" s="66" t="s">
        <v>12</v>
      </c>
      <c r="B2" s="66" t="s">
        <v>13</v>
      </c>
      <c r="C2" s="9" t="s">
        <v>14</v>
      </c>
      <c r="D2" s="9" t="s">
        <v>15</v>
      </c>
      <c r="E2" s="9" t="s">
        <v>16</v>
      </c>
      <c r="F2" s="9" t="s">
        <v>17</v>
      </c>
      <c r="G2" s="9" t="s">
        <v>18</v>
      </c>
      <c r="H2" s="9" t="s">
        <v>19</v>
      </c>
      <c r="I2" s="9" t="s">
        <v>15</v>
      </c>
      <c r="J2" s="9" t="s">
        <v>20</v>
      </c>
      <c r="K2" s="9" t="s">
        <v>17</v>
      </c>
      <c r="L2" s="9" t="s">
        <v>21</v>
      </c>
      <c r="M2" s="10" t="s">
        <v>22</v>
      </c>
      <c r="N2" s="9" t="s">
        <v>23</v>
      </c>
      <c r="O2" s="9" t="s">
        <v>24</v>
      </c>
      <c r="P2" s="9" t="s">
        <v>15</v>
      </c>
      <c r="Q2" s="9" t="s">
        <v>35</v>
      </c>
      <c r="R2" s="9" t="s">
        <v>25</v>
      </c>
      <c r="S2" s="9" t="s">
        <v>26</v>
      </c>
      <c r="T2" s="10" t="s">
        <v>15</v>
      </c>
      <c r="U2" s="9" t="s">
        <v>27</v>
      </c>
      <c r="V2" s="9" t="s">
        <v>15</v>
      </c>
      <c r="W2" s="9" t="s">
        <v>28</v>
      </c>
      <c r="X2" s="9" t="s">
        <v>17</v>
      </c>
      <c r="Y2" s="10" t="s">
        <v>29</v>
      </c>
    </row>
    <row r="3" spans="1:25" ht="12.75">
      <c r="A3" s="67"/>
      <c r="B3" s="67"/>
      <c r="C3" s="10" t="s">
        <v>30</v>
      </c>
      <c r="D3" s="10"/>
      <c r="E3" s="10" t="s">
        <v>30</v>
      </c>
      <c r="F3" s="10"/>
      <c r="G3" s="10" t="s">
        <v>30</v>
      </c>
      <c r="H3" s="10" t="s">
        <v>31</v>
      </c>
      <c r="I3" s="10"/>
      <c r="J3" s="10" t="s">
        <v>31</v>
      </c>
      <c r="K3" s="10"/>
      <c r="L3" s="10" t="s">
        <v>31</v>
      </c>
      <c r="M3" s="10" t="s">
        <v>32</v>
      </c>
      <c r="N3" s="10" t="s">
        <v>33</v>
      </c>
      <c r="O3" s="10" t="s">
        <v>42</v>
      </c>
      <c r="P3" s="10"/>
      <c r="Q3" s="10"/>
      <c r="R3" s="10" t="s">
        <v>34</v>
      </c>
      <c r="S3" s="10"/>
      <c r="T3" s="10"/>
      <c r="U3" s="10"/>
      <c r="V3" s="10"/>
      <c r="W3" s="10"/>
      <c r="X3" s="10"/>
      <c r="Y3" s="10" t="s">
        <v>32</v>
      </c>
    </row>
    <row r="4" spans="1:25" ht="12.75">
      <c r="A4" s="6">
        <v>2019</v>
      </c>
      <c r="B4" s="53">
        <v>43586</v>
      </c>
      <c r="C4" s="37">
        <v>29.92</v>
      </c>
      <c r="D4" s="6">
        <v>1326</v>
      </c>
      <c r="E4" s="6">
        <v>11.88</v>
      </c>
      <c r="F4" s="6">
        <v>704</v>
      </c>
      <c r="G4" s="37">
        <f>AVERAGE(C4,E4)</f>
        <v>20.900000000000002</v>
      </c>
      <c r="H4" s="37">
        <v>94.1</v>
      </c>
      <c r="I4" s="6">
        <v>711</v>
      </c>
      <c r="J4" s="6">
        <v>31.27</v>
      </c>
      <c r="K4" s="6">
        <v>1330</v>
      </c>
      <c r="L4" s="37">
        <f>AVERAGE(H4,J4)</f>
        <v>62.684999999999995</v>
      </c>
      <c r="M4" s="6">
        <v>0</v>
      </c>
      <c r="N4" s="35">
        <v>0.401</v>
      </c>
      <c r="O4" s="35">
        <f>4.7*3.6</f>
        <v>16.92</v>
      </c>
      <c r="P4" s="6">
        <v>1009</v>
      </c>
      <c r="Q4" s="36">
        <v>68.31</v>
      </c>
      <c r="R4" s="37">
        <v>13.55</v>
      </c>
      <c r="S4" s="36"/>
      <c r="T4" s="6"/>
      <c r="U4" s="37"/>
      <c r="V4" s="6"/>
      <c r="W4" s="37"/>
      <c r="X4" s="6"/>
      <c r="Y4" s="35">
        <v>1.532</v>
      </c>
    </row>
    <row r="5" spans="1:25" ht="12.75">
      <c r="A5" s="6">
        <v>2018</v>
      </c>
      <c r="B5" s="53">
        <v>43587</v>
      </c>
      <c r="C5" s="37">
        <v>30.9</v>
      </c>
      <c r="D5" s="6">
        <v>1510</v>
      </c>
      <c r="E5" s="6">
        <v>15.61</v>
      </c>
      <c r="F5" s="6">
        <v>700</v>
      </c>
      <c r="G5" s="37">
        <f>AVERAGE(C5,E5)</f>
        <v>23.255</v>
      </c>
      <c r="H5" s="37">
        <v>90.7</v>
      </c>
      <c r="I5" s="6">
        <v>548</v>
      </c>
      <c r="J5" s="6">
        <v>33.46</v>
      </c>
      <c r="K5" s="6">
        <v>1510</v>
      </c>
      <c r="L5" s="37">
        <f>AVERAGE(H5,J5)</f>
        <v>62.08</v>
      </c>
      <c r="M5" s="38">
        <v>0</v>
      </c>
      <c r="N5" s="6">
        <v>0.114</v>
      </c>
      <c r="O5" s="39">
        <f>3.675*3.6</f>
        <v>13.23</v>
      </c>
      <c r="P5" s="6">
        <v>1027</v>
      </c>
      <c r="Q5" s="36">
        <v>61.76</v>
      </c>
      <c r="R5" s="37">
        <v>13.1</v>
      </c>
      <c r="S5" s="36"/>
      <c r="T5" s="6"/>
      <c r="U5" s="37"/>
      <c r="V5" s="6"/>
      <c r="W5" s="37"/>
      <c r="X5" s="6"/>
      <c r="Y5" s="6">
        <v>1.725</v>
      </c>
    </row>
    <row r="6" spans="1:25" ht="12.75">
      <c r="A6" s="6">
        <v>2018</v>
      </c>
      <c r="B6" s="53">
        <v>43588</v>
      </c>
      <c r="C6" s="37">
        <v>30.58</v>
      </c>
      <c r="D6" s="6">
        <v>1356</v>
      </c>
      <c r="E6" s="6">
        <v>17.86</v>
      </c>
      <c r="F6" s="6">
        <v>700</v>
      </c>
      <c r="G6" s="37">
        <f>AVERAGE(C6,E6)</f>
        <v>24.22</v>
      </c>
      <c r="H6" s="37">
        <v>89.3</v>
      </c>
      <c r="I6" s="6">
        <v>801</v>
      </c>
      <c r="J6" s="6">
        <v>36.46</v>
      </c>
      <c r="K6" s="6">
        <v>1247</v>
      </c>
      <c r="L6" s="37">
        <f>AVERAGE(H6,J6)</f>
        <v>62.879999999999995</v>
      </c>
      <c r="M6" s="6">
        <v>0</v>
      </c>
      <c r="N6" s="35">
        <v>0.273</v>
      </c>
      <c r="O6" s="35">
        <f>3.975*3.6</f>
        <v>14.31</v>
      </c>
      <c r="P6" s="6">
        <v>1337</v>
      </c>
      <c r="Q6" s="36">
        <v>318.7</v>
      </c>
      <c r="R6" s="37">
        <v>8.5</v>
      </c>
      <c r="S6" s="36"/>
      <c r="T6" s="6"/>
      <c r="U6" s="37"/>
      <c r="V6" s="6"/>
      <c r="W6" s="6"/>
      <c r="X6" s="6"/>
      <c r="Y6" s="39">
        <v>1.696</v>
      </c>
    </row>
    <row r="7" spans="1:25" ht="12.75">
      <c r="A7" s="6">
        <v>2018</v>
      </c>
      <c r="B7" s="53">
        <v>43589</v>
      </c>
      <c r="C7" s="6">
        <v>31.77</v>
      </c>
      <c r="D7" s="6">
        <v>1412</v>
      </c>
      <c r="E7" s="37">
        <v>18.69</v>
      </c>
      <c r="F7" s="6">
        <v>651</v>
      </c>
      <c r="G7" s="37">
        <f>AVERAGE(C7,E7)</f>
        <v>25.23</v>
      </c>
      <c r="H7" s="37">
        <v>90.3</v>
      </c>
      <c r="I7" s="6">
        <v>633</v>
      </c>
      <c r="J7" s="37">
        <v>50.12</v>
      </c>
      <c r="K7" s="6">
        <v>1525</v>
      </c>
      <c r="L7" s="37">
        <f>AVERAGE(H7,J7)</f>
        <v>70.21</v>
      </c>
      <c r="M7" s="6">
        <v>0</v>
      </c>
      <c r="N7" s="39"/>
      <c r="O7" s="39"/>
      <c r="P7" s="6"/>
      <c r="Q7" s="36"/>
      <c r="R7" s="37"/>
      <c r="S7" s="36"/>
      <c r="T7" s="6"/>
      <c r="U7" s="37"/>
      <c r="V7" s="6"/>
      <c r="W7" s="37"/>
      <c r="X7" s="6"/>
      <c r="Y7" s="35">
        <v>1.744</v>
      </c>
    </row>
    <row r="8" spans="1:25" ht="12.75">
      <c r="A8" s="6">
        <v>2018</v>
      </c>
      <c r="B8" s="53">
        <v>43590</v>
      </c>
      <c r="C8" s="6">
        <v>31.04</v>
      </c>
      <c r="D8" s="6">
        <v>1524</v>
      </c>
      <c r="E8" s="37">
        <v>16.06</v>
      </c>
      <c r="F8" s="6">
        <v>659</v>
      </c>
      <c r="G8" s="37">
        <f aca="true" t="shared" si="0" ref="G8:G25">AVERAGE(C8,E8)</f>
        <v>23.549999999999997</v>
      </c>
      <c r="H8" s="37">
        <v>91.8</v>
      </c>
      <c r="I8" s="6">
        <v>521</v>
      </c>
      <c r="J8" s="37">
        <v>44.7</v>
      </c>
      <c r="K8" s="6">
        <v>1623</v>
      </c>
      <c r="L8" s="37">
        <f aca="true" t="shared" si="1" ref="L8:L25">AVERAGE(H8,J8)</f>
        <v>68.25</v>
      </c>
      <c r="M8" s="6">
        <v>0</v>
      </c>
      <c r="N8" s="39"/>
      <c r="O8" s="39"/>
      <c r="P8" s="6"/>
      <c r="Q8" s="36"/>
      <c r="R8" s="37"/>
      <c r="S8" s="36"/>
      <c r="T8" s="6"/>
      <c r="U8" s="37"/>
      <c r="V8" s="6"/>
      <c r="W8" s="37"/>
      <c r="X8" s="6"/>
      <c r="Y8" s="35">
        <v>1.758</v>
      </c>
    </row>
    <row r="9" spans="1:25" ht="12.75">
      <c r="A9" s="6">
        <v>2018</v>
      </c>
      <c r="B9" s="53">
        <v>43591</v>
      </c>
      <c r="C9" s="6">
        <v>29.33</v>
      </c>
      <c r="D9" s="6">
        <v>1526</v>
      </c>
      <c r="E9" s="37">
        <v>15.86</v>
      </c>
      <c r="F9" s="6">
        <v>701</v>
      </c>
      <c r="G9" s="37">
        <f t="shared" si="0"/>
        <v>22.595</v>
      </c>
      <c r="H9" s="37">
        <v>92.3</v>
      </c>
      <c r="I9" s="6">
        <v>652</v>
      </c>
      <c r="J9" s="37">
        <v>47.04</v>
      </c>
      <c r="K9" s="6">
        <v>1510</v>
      </c>
      <c r="L9" s="37">
        <f t="shared" si="1"/>
        <v>69.67</v>
      </c>
      <c r="M9" s="6">
        <v>0</v>
      </c>
      <c r="N9" s="39">
        <v>0.945</v>
      </c>
      <c r="O9" s="39">
        <f>6.4*3.6</f>
        <v>23.040000000000003</v>
      </c>
      <c r="P9" s="6">
        <v>1312</v>
      </c>
      <c r="Q9" s="36">
        <v>80.4</v>
      </c>
      <c r="R9" s="37">
        <v>7.23</v>
      </c>
      <c r="S9" s="36"/>
      <c r="T9" s="6"/>
      <c r="U9" s="37"/>
      <c r="V9" s="6"/>
      <c r="W9" s="6"/>
      <c r="X9" s="6"/>
      <c r="Y9" s="35">
        <v>1.588</v>
      </c>
    </row>
    <row r="10" spans="1:25" ht="12.75">
      <c r="A10" s="6">
        <v>2018</v>
      </c>
      <c r="B10" s="53">
        <v>43592</v>
      </c>
      <c r="C10" s="6">
        <v>31.58</v>
      </c>
      <c r="D10" s="6">
        <v>1430</v>
      </c>
      <c r="E10" s="37">
        <v>16.04</v>
      </c>
      <c r="F10" s="6">
        <v>620</v>
      </c>
      <c r="G10" s="37">
        <f t="shared" si="0"/>
        <v>23.81</v>
      </c>
      <c r="H10" s="37">
        <v>93.6</v>
      </c>
      <c r="I10" s="6">
        <v>646</v>
      </c>
      <c r="J10" s="37">
        <v>40.98</v>
      </c>
      <c r="K10" s="6">
        <v>1431</v>
      </c>
      <c r="L10" s="37">
        <f t="shared" si="1"/>
        <v>67.28999999999999</v>
      </c>
      <c r="M10" s="6">
        <v>0</v>
      </c>
      <c r="N10" s="39">
        <v>0.469</v>
      </c>
      <c r="O10" s="39">
        <f>4.25*3.6</f>
        <v>15.3</v>
      </c>
      <c r="P10" s="6">
        <v>932</v>
      </c>
      <c r="Q10" s="36">
        <v>21.55</v>
      </c>
      <c r="R10" s="37">
        <v>7.35</v>
      </c>
      <c r="S10" s="36"/>
      <c r="T10" s="6"/>
      <c r="U10" s="37"/>
      <c r="V10" s="6"/>
      <c r="W10" s="37"/>
      <c r="X10" s="6"/>
      <c r="Y10" s="35">
        <v>1.682</v>
      </c>
    </row>
    <row r="11" spans="1:25" ht="12.75">
      <c r="A11" s="6">
        <v>2018</v>
      </c>
      <c r="B11" s="53">
        <v>43593</v>
      </c>
      <c r="C11" s="6">
        <v>31.84</v>
      </c>
      <c r="D11" s="6">
        <v>1451</v>
      </c>
      <c r="E11" s="37">
        <v>14.81</v>
      </c>
      <c r="F11" s="6">
        <v>706</v>
      </c>
      <c r="G11" s="37">
        <f t="shared" si="0"/>
        <v>23.325</v>
      </c>
      <c r="H11" s="37">
        <v>93.4</v>
      </c>
      <c r="I11" s="6">
        <v>723</v>
      </c>
      <c r="J11" s="37">
        <v>40.57</v>
      </c>
      <c r="K11" s="6">
        <v>1454</v>
      </c>
      <c r="L11" s="37">
        <f t="shared" si="1"/>
        <v>66.985</v>
      </c>
      <c r="M11" s="6">
        <v>0</v>
      </c>
      <c r="N11" s="6">
        <v>0.096</v>
      </c>
      <c r="O11" s="35">
        <f>3.6*3.6</f>
        <v>12.96</v>
      </c>
      <c r="P11" s="6">
        <v>1216</v>
      </c>
      <c r="Q11" s="36">
        <v>68.19</v>
      </c>
      <c r="R11" s="37">
        <v>8.93</v>
      </c>
      <c r="S11" s="36"/>
      <c r="T11" s="6"/>
      <c r="U11" s="37"/>
      <c r="V11" s="6"/>
      <c r="W11" s="37"/>
      <c r="X11" s="6"/>
      <c r="Y11" s="35">
        <v>1.701</v>
      </c>
    </row>
    <row r="12" spans="1:25" ht="12.75">
      <c r="A12" s="6">
        <v>2018</v>
      </c>
      <c r="B12" s="53">
        <v>43594</v>
      </c>
      <c r="C12" s="6">
        <v>30.98</v>
      </c>
      <c r="D12" s="6">
        <v>1349</v>
      </c>
      <c r="E12" s="37">
        <v>16.52</v>
      </c>
      <c r="F12" s="6">
        <v>627</v>
      </c>
      <c r="G12" s="37">
        <f t="shared" si="0"/>
        <v>23.75</v>
      </c>
      <c r="H12" s="37">
        <v>91.2</v>
      </c>
      <c r="I12" s="6">
        <v>646</v>
      </c>
      <c r="J12" s="37">
        <v>41.11</v>
      </c>
      <c r="K12" s="6">
        <v>1421</v>
      </c>
      <c r="L12" s="37">
        <f t="shared" si="1"/>
        <v>66.155</v>
      </c>
      <c r="M12" s="6">
        <v>0</v>
      </c>
      <c r="N12" s="39">
        <v>0.523</v>
      </c>
      <c r="O12" s="35">
        <f>4.6*3.6</f>
        <v>16.56</v>
      </c>
      <c r="P12" s="6">
        <v>1041</v>
      </c>
      <c r="Q12" s="36">
        <v>90.6</v>
      </c>
      <c r="R12" s="37">
        <v>8.05</v>
      </c>
      <c r="S12" s="36"/>
      <c r="T12" s="6"/>
      <c r="U12" s="6"/>
      <c r="V12" s="6"/>
      <c r="W12" s="6"/>
      <c r="X12" s="6"/>
      <c r="Y12" s="39">
        <v>1.663</v>
      </c>
    </row>
    <row r="13" spans="1:25" ht="12.75">
      <c r="A13" s="6">
        <v>2018</v>
      </c>
      <c r="B13" s="53">
        <v>43595</v>
      </c>
      <c r="C13" s="6">
        <v>30.78</v>
      </c>
      <c r="D13" s="6">
        <v>1520</v>
      </c>
      <c r="E13" s="37">
        <v>15.87</v>
      </c>
      <c r="F13" s="6">
        <v>700</v>
      </c>
      <c r="G13" s="37">
        <f t="shared" si="0"/>
        <v>23.325</v>
      </c>
      <c r="H13" s="37">
        <v>92.4</v>
      </c>
      <c r="I13" s="6">
        <v>303</v>
      </c>
      <c r="J13" s="37">
        <v>45.43</v>
      </c>
      <c r="K13" s="6">
        <v>1549</v>
      </c>
      <c r="L13" s="37">
        <f t="shared" si="1"/>
        <v>68.915</v>
      </c>
      <c r="M13" s="6">
        <v>5.7</v>
      </c>
      <c r="N13" s="35">
        <v>0.878</v>
      </c>
      <c r="O13" s="35">
        <f>6.225*3.6</f>
        <v>22.41</v>
      </c>
      <c r="P13" s="6">
        <v>1057</v>
      </c>
      <c r="Q13" s="36">
        <v>61.93</v>
      </c>
      <c r="R13" s="37">
        <v>10.65</v>
      </c>
      <c r="S13" s="36"/>
      <c r="T13" s="6"/>
      <c r="U13" s="37"/>
      <c r="V13" s="6"/>
      <c r="W13" s="37"/>
      <c r="X13" s="6"/>
      <c r="Y13" s="39">
        <v>0.423</v>
      </c>
    </row>
    <row r="14" spans="1:26" ht="12.75">
      <c r="A14" s="6">
        <v>2018</v>
      </c>
      <c r="B14" s="53">
        <v>43596</v>
      </c>
      <c r="C14" s="6">
        <v>29.72</v>
      </c>
      <c r="D14" s="6">
        <v>1435</v>
      </c>
      <c r="E14" s="37">
        <v>17.19</v>
      </c>
      <c r="F14" s="6">
        <v>659</v>
      </c>
      <c r="G14" s="37">
        <f t="shared" si="0"/>
        <v>23.455</v>
      </c>
      <c r="H14" s="37">
        <v>91.5</v>
      </c>
      <c r="I14" s="6">
        <v>100</v>
      </c>
      <c r="J14" s="37">
        <v>50.96</v>
      </c>
      <c r="K14" s="6">
        <v>1406</v>
      </c>
      <c r="L14" s="37">
        <f t="shared" si="1"/>
        <v>71.23</v>
      </c>
      <c r="M14" s="6">
        <v>0</v>
      </c>
      <c r="N14" s="35">
        <v>0.602</v>
      </c>
      <c r="O14" s="35">
        <f>5.5*3.6</f>
        <v>19.8</v>
      </c>
      <c r="P14" s="6">
        <v>23</v>
      </c>
      <c r="Q14" s="36">
        <v>101.1</v>
      </c>
      <c r="R14" s="37">
        <v>17.17</v>
      </c>
      <c r="S14" s="36"/>
      <c r="T14" s="6"/>
      <c r="U14" s="37"/>
      <c r="V14" s="6"/>
      <c r="W14" s="6"/>
      <c r="X14" s="6"/>
      <c r="Y14" s="39">
        <v>1.326</v>
      </c>
      <c r="Z14" s="13"/>
    </row>
    <row r="15" spans="1:25" ht="12.75">
      <c r="A15" s="6">
        <v>2018</v>
      </c>
      <c r="B15" s="53">
        <v>43597</v>
      </c>
      <c r="C15" s="6">
        <v>29.53</v>
      </c>
      <c r="D15" s="6">
        <v>1355</v>
      </c>
      <c r="E15" s="37">
        <v>17.29</v>
      </c>
      <c r="F15" s="6">
        <v>655</v>
      </c>
      <c r="G15" s="37">
        <f t="shared" si="0"/>
        <v>23.41</v>
      </c>
      <c r="H15" s="37">
        <v>92.9</v>
      </c>
      <c r="I15" s="6">
        <v>518</v>
      </c>
      <c r="J15" s="37">
        <v>49.1</v>
      </c>
      <c r="K15" s="6">
        <v>1352</v>
      </c>
      <c r="L15" s="37">
        <f t="shared" si="1"/>
        <v>71</v>
      </c>
      <c r="M15" s="6">
        <v>0</v>
      </c>
      <c r="N15" s="35">
        <v>0.385</v>
      </c>
      <c r="O15" s="39">
        <f>4.45*3.6</f>
        <v>16.02</v>
      </c>
      <c r="P15" s="6">
        <v>1013</v>
      </c>
      <c r="Q15" s="36">
        <v>69.91</v>
      </c>
      <c r="R15" s="37">
        <v>12.17</v>
      </c>
      <c r="S15" s="36"/>
      <c r="T15" s="6"/>
      <c r="U15" s="37"/>
      <c r="V15" s="6"/>
      <c r="W15" s="37"/>
      <c r="X15" s="6"/>
      <c r="Y15" s="35">
        <v>1.477</v>
      </c>
    </row>
    <row r="16" spans="1:25" ht="12.75">
      <c r="A16" s="6">
        <v>2018</v>
      </c>
      <c r="B16" s="53">
        <v>43598</v>
      </c>
      <c r="C16" s="6">
        <v>31.04</v>
      </c>
      <c r="D16" s="6">
        <v>1523</v>
      </c>
      <c r="E16" s="37">
        <v>16.26</v>
      </c>
      <c r="F16" s="6">
        <v>622</v>
      </c>
      <c r="G16" s="37">
        <f t="shared" si="0"/>
        <v>23.65</v>
      </c>
      <c r="H16" s="37">
        <v>93.1</v>
      </c>
      <c r="I16" s="6">
        <v>655</v>
      </c>
      <c r="J16" s="37">
        <v>44.5</v>
      </c>
      <c r="K16" s="6">
        <v>1422</v>
      </c>
      <c r="L16" s="37">
        <f t="shared" si="1"/>
        <v>68.8</v>
      </c>
      <c r="M16" s="6">
        <v>0</v>
      </c>
      <c r="N16" s="35">
        <v>0.439</v>
      </c>
      <c r="O16" s="35">
        <f>4.725*3.6</f>
        <v>17.009999999999998</v>
      </c>
      <c r="P16" s="6">
        <v>1341</v>
      </c>
      <c r="Q16" s="36">
        <v>321</v>
      </c>
      <c r="R16" s="37">
        <v>14.31</v>
      </c>
      <c r="S16" s="36"/>
      <c r="T16" s="6"/>
      <c r="U16" s="37"/>
      <c r="V16" s="6"/>
      <c r="W16" s="37"/>
      <c r="X16" s="6"/>
      <c r="Y16" s="35">
        <v>1.671</v>
      </c>
    </row>
    <row r="17" spans="1:25" ht="12.75">
      <c r="A17" s="6">
        <v>2018</v>
      </c>
      <c r="B17" s="53">
        <v>43599</v>
      </c>
      <c r="C17" s="6">
        <v>31.11</v>
      </c>
      <c r="D17" s="6">
        <v>1437</v>
      </c>
      <c r="E17" s="37">
        <v>16.19</v>
      </c>
      <c r="F17" s="6">
        <v>701</v>
      </c>
      <c r="G17" s="37">
        <f t="shared" si="0"/>
        <v>23.65</v>
      </c>
      <c r="H17" s="37">
        <v>93.3</v>
      </c>
      <c r="I17" s="6">
        <v>731</v>
      </c>
      <c r="J17" s="37">
        <v>40.91</v>
      </c>
      <c r="K17" s="6">
        <v>1439</v>
      </c>
      <c r="L17" s="37">
        <f t="shared" si="1"/>
        <v>67.10499999999999</v>
      </c>
      <c r="M17" s="6">
        <v>0</v>
      </c>
      <c r="N17" s="35">
        <v>0.085</v>
      </c>
      <c r="O17" s="35">
        <f>3.275*3.6</f>
        <v>11.79</v>
      </c>
      <c r="P17" s="6">
        <v>1034</v>
      </c>
      <c r="Q17" s="36">
        <v>82.3</v>
      </c>
      <c r="R17" s="37">
        <v>11.23</v>
      </c>
      <c r="S17" s="36"/>
      <c r="T17" s="6"/>
      <c r="U17" s="37"/>
      <c r="V17" s="6"/>
      <c r="W17" s="37"/>
      <c r="X17" s="6"/>
      <c r="Y17" s="35">
        <v>1.726</v>
      </c>
    </row>
    <row r="18" spans="1:25" ht="12.75">
      <c r="A18" s="6">
        <v>2018</v>
      </c>
      <c r="B18" s="53">
        <v>43600</v>
      </c>
      <c r="C18" s="37">
        <v>26.8</v>
      </c>
      <c r="D18" s="6">
        <v>1337</v>
      </c>
      <c r="E18" s="37">
        <v>15.66</v>
      </c>
      <c r="F18" s="6">
        <v>624</v>
      </c>
      <c r="G18" s="37">
        <f t="shared" si="0"/>
        <v>21.23</v>
      </c>
      <c r="H18" s="37">
        <v>91.4</v>
      </c>
      <c r="I18" s="6">
        <v>702</v>
      </c>
      <c r="J18" s="37">
        <v>58.82</v>
      </c>
      <c r="K18" s="6">
        <v>1235</v>
      </c>
      <c r="L18" s="37">
        <f t="shared" si="1"/>
        <v>75.11</v>
      </c>
      <c r="M18" s="38">
        <v>0</v>
      </c>
      <c r="N18" s="35">
        <v>0.588</v>
      </c>
      <c r="O18" s="35">
        <f>5.475*3.6</f>
        <v>19.71</v>
      </c>
      <c r="P18" s="6">
        <v>1347</v>
      </c>
      <c r="Q18" s="36">
        <v>264.1</v>
      </c>
      <c r="R18" s="37">
        <v>12.7</v>
      </c>
      <c r="S18" s="36"/>
      <c r="T18" s="6"/>
      <c r="U18" s="6"/>
      <c r="V18" s="6"/>
      <c r="W18" s="6"/>
      <c r="X18" s="6"/>
      <c r="Y18" s="35">
        <v>1.259</v>
      </c>
    </row>
    <row r="19" spans="1:25" ht="12.75">
      <c r="A19" s="6">
        <v>2018</v>
      </c>
      <c r="B19" s="53">
        <v>43601</v>
      </c>
      <c r="C19" s="6">
        <v>26.92</v>
      </c>
      <c r="D19" s="6">
        <v>1437</v>
      </c>
      <c r="E19" s="37">
        <v>11.68</v>
      </c>
      <c r="F19" s="6">
        <v>549</v>
      </c>
      <c r="G19" s="37">
        <f t="shared" si="0"/>
        <v>19.3</v>
      </c>
      <c r="H19" s="37">
        <v>93.8</v>
      </c>
      <c r="I19" s="6">
        <v>552</v>
      </c>
      <c r="J19" s="37">
        <v>37.45</v>
      </c>
      <c r="K19" s="6">
        <v>1512</v>
      </c>
      <c r="L19" s="37">
        <f t="shared" si="1"/>
        <v>65.625</v>
      </c>
      <c r="M19" s="6">
        <v>0</v>
      </c>
      <c r="N19" s="6">
        <v>0.401</v>
      </c>
      <c r="O19" s="39">
        <f>4.45*3.6</f>
        <v>16.02</v>
      </c>
      <c r="P19" s="6">
        <v>2307</v>
      </c>
      <c r="Q19" s="36">
        <v>115.4</v>
      </c>
      <c r="R19" s="37">
        <v>12.77</v>
      </c>
      <c r="S19" s="36"/>
      <c r="T19" s="6"/>
      <c r="U19" s="6"/>
      <c r="V19" s="6"/>
      <c r="W19" s="37"/>
      <c r="X19" s="6"/>
      <c r="Y19" s="35">
        <v>1.179</v>
      </c>
    </row>
    <row r="20" spans="1:25" ht="12.75">
      <c r="A20" s="6">
        <v>2018</v>
      </c>
      <c r="B20" s="53">
        <v>43602</v>
      </c>
      <c r="C20" s="6">
        <v>25.93</v>
      </c>
      <c r="D20" s="6">
        <v>1345</v>
      </c>
      <c r="E20" s="37">
        <v>11.75</v>
      </c>
      <c r="F20" s="6">
        <v>701</v>
      </c>
      <c r="G20" s="37">
        <f t="shared" si="0"/>
        <v>18.84</v>
      </c>
      <c r="H20" s="37">
        <v>96.7</v>
      </c>
      <c r="I20" s="6">
        <v>740</v>
      </c>
      <c r="J20" s="37">
        <v>49.17</v>
      </c>
      <c r="K20" s="6">
        <v>1439</v>
      </c>
      <c r="L20" s="37">
        <f t="shared" si="1"/>
        <v>72.935</v>
      </c>
      <c r="M20" s="6">
        <v>8.5</v>
      </c>
      <c r="N20" s="39">
        <v>0.622</v>
      </c>
      <c r="O20" s="35">
        <f>5.5*3.6</f>
        <v>19.8</v>
      </c>
      <c r="P20" s="6">
        <v>2250</v>
      </c>
      <c r="Q20" s="36">
        <v>80</v>
      </c>
      <c r="R20" s="37">
        <v>11.93</v>
      </c>
      <c r="S20" s="36"/>
      <c r="T20" s="6"/>
      <c r="U20" s="6"/>
      <c r="V20" s="6"/>
      <c r="W20" s="37"/>
      <c r="X20" s="6"/>
      <c r="Y20" s="35">
        <v>0.512</v>
      </c>
    </row>
    <row r="21" spans="1:25" ht="12.75">
      <c r="A21" s="6">
        <v>2018</v>
      </c>
      <c r="B21" s="53">
        <v>43603</v>
      </c>
      <c r="C21" s="6">
        <v>25.21</v>
      </c>
      <c r="D21" s="6">
        <v>1308</v>
      </c>
      <c r="E21" s="37">
        <v>14.6</v>
      </c>
      <c r="F21" s="6">
        <v>654</v>
      </c>
      <c r="G21" s="37">
        <f t="shared" si="0"/>
        <v>19.905</v>
      </c>
      <c r="H21" s="37">
        <v>93.4</v>
      </c>
      <c r="I21" s="6">
        <v>651</v>
      </c>
      <c r="J21" s="37">
        <v>51.57</v>
      </c>
      <c r="K21" s="6">
        <v>1309</v>
      </c>
      <c r="L21" s="37">
        <f t="shared" si="1"/>
        <v>72.485</v>
      </c>
      <c r="M21" s="6">
        <v>0</v>
      </c>
      <c r="N21" s="35">
        <v>1.015</v>
      </c>
      <c r="O21" s="35">
        <f>7.67*3.6</f>
        <v>27.612000000000002</v>
      </c>
      <c r="P21" s="6">
        <v>1541</v>
      </c>
      <c r="Q21" s="36">
        <v>76.7</v>
      </c>
      <c r="R21" s="37">
        <v>5.442</v>
      </c>
      <c r="S21" s="36"/>
      <c r="T21" s="6"/>
      <c r="U21" s="37"/>
      <c r="V21" s="6"/>
      <c r="W21" s="37"/>
      <c r="X21" s="6"/>
      <c r="Y21" s="35">
        <v>1.054</v>
      </c>
    </row>
    <row r="22" spans="1:25" ht="12.75">
      <c r="A22" s="6">
        <v>2018</v>
      </c>
      <c r="B22" s="53">
        <v>43604</v>
      </c>
      <c r="C22" s="37">
        <v>24.8</v>
      </c>
      <c r="D22" s="6">
        <v>1607</v>
      </c>
      <c r="E22" s="37">
        <v>12.81</v>
      </c>
      <c r="F22" s="6">
        <v>657</v>
      </c>
      <c r="G22" s="37">
        <f t="shared" si="0"/>
        <v>18.805</v>
      </c>
      <c r="H22" s="37">
        <v>94.4</v>
      </c>
      <c r="I22" s="6">
        <v>630</v>
      </c>
      <c r="J22" s="37">
        <v>48.36</v>
      </c>
      <c r="K22" s="6">
        <v>1603</v>
      </c>
      <c r="L22" s="37">
        <f t="shared" si="1"/>
        <v>71.38</v>
      </c>
      <c r="M22" s="6">
        <v>0</v>
      </c>
      <c r="N22" s="35">
        <v>0.425</v>
      </c>
      <c r="O22" s="39">
        <f>4.575*3.6</f>
        <v>16.470000000000002</v>
      </c>
      <c r="P22" s="6">
        <v>16</v>
      </c>
      <c r="Q22" s="36">
        <v>90.9</v>
      </c>
      <c r="R22" s="37">
        <v>6.92</v>
      </c>
      <c r="S22" s="36"/>
      <c r="T22" s="6"/>
      <c r="U22" s="37"/>
      <c r="V22" s="6"/>
      <c r="W22" s="37"/>
      <c r="X22" s="6"/>
      <c r="Y22" s="35">
        <v>1.279</v>
      </c>
    </row>
    <row r="23" spans="1:25" ht="12.75">
      <c r="A23" s="6">
        <v>2018</v>
      </c>
      <c r="B23" s="53">
        <v>43605</v>
      </c>
      <c r="C23" s="6">
        <v>26.53</v>
      </c>
      <c r="D23" s="6">
        <v>1449</v>
      </c>
      <c r="E23" s="37">
        <v>9.36</v>
      </c>
      <c r="F23" s="6">
        <v>657</v>
      </c>
      <c r="G23" s="37">
        <f t="shared" si="0"/>
        <v>17.945</v>
      </c>
      <c r="H23" s="37">
        <v>94.6</v>
      </c>
      <c r="I23" s="6">
        <v>738</v>
      </c>
      <c r="J23" s="37">
        <v>35.79</v>
      </c>
      <c r="K23" s="6">
        <v>1456</v>
      </c>
      <c r="L23" s="37">
        <f t="shared" si="1"/>
        <v>65.195</v>
      </c>
      <c r="M23" s="6">
        <v>0</v>
      </c>
      <c r="N23" s="6">
        <v>0.533</v>
      </c>
      <c r="O23" s="6">
        <f>4.975*3.6</f>
        <v>17.91</v>
      </c>
      <c r="P23" s="6">
        <v>1456</v>
      </c>
      <c r="Q23" s="36">
        <v>329.6</v>
      </c>
      <c r="R23" s="37">
        <v>15.11</v>
      </c>
      <c r="S23" s="36"/>
      <c r="T23" s="6"/>
      <c r="U23" s="37"/>
      <c r="V23" s="6"/>
      <c r="W23" s="6"/>
      <c r="X23" s="6"/>
      <c r="Y23" s="35">
        <v>1.423</v>
      </c>
    </row>
    <row r="24" spans="1:25" ht="12.75">
      <c r="A24" s="6">
        <v>2018</v>
      </c>
      <c r="B24" s="53">
        <v>43606</v>
      </c>
      <c r="C24" s="6">
        <v>26.72</v>
      </c>
      <c r="D24" s="6">
        <v>1553</v>
      </c>
      <c r="E24" s="37">
        <v>7.76</v>
      </c>
      <c r="F24" s="6">
        <v>635</v>
      </c>
      <c r="G24" s="37">
        <f t="shared" si="0"/>
        <v>17.24</v>
      </c>
      <c r="H24" s="37">
        <v>94.7</v>
      </c>
      <c r="I24" s="6">
        <v>732</v>
      </c>
      <c r="J24" s="37">
        <v>25.28</v>
      </c>
      <c r="K24" s="6">
        <v>1603</v>
      </c>
      <c r="L24" s="37">
        <f t="shared" si="1"/>
        <v>59.99</v>
      </c>
      <c r="M24" s="6">
        <v>0</v>
      </c>
      <c r="N24" s="35">
        <v>0.487</v>
      </c>
      <c r="O24" s="39">
        <f>4.45*3.6</f>
        <v>16.02</v>
      </c>
      <c r="P24" s="6">
        <v>1404</v>
      </c>
      <c r="Q24" s="36">
        <v>303.1</v>
      </c>
      <c r="R24" s="37">
        <v>8.3</v>
      </c>
      <c r="S24" s="6"/>
      <c r="T24" s="6"/>
      <c r="U24" s="37"/>
      <c r="V24" s="6"/>
      <c r="W24" s="37"/>
      <c r="X24" s="6"/>
      <c r="Y24" s="35">
        <v>1.379</v>
      </c>
    </row>
    <row r="25" spans="1:25" ht="12.75">
      <c r="A25" s="6">
        <v>2018</v>
      </c>
      <c r="B25" s="53">
        <v>43607</v>
      </c>
      <c r="C25" s="6">
        <v>28.46</v>
      </c>
      <c r="D25" s="6">
        <v>1458</v>
      </c>
      <c r="E25" s="37">
        <v>7.64</v>
      </c>
      <c r="F25" s="6">
        <v>701</v>
      </c>
      <c r="G25" s="37">
        <f t="shared" si="0"/>
        <v>18.05</v>
      </c>
      <c r="H25" s="37">
        <v>92.8</v>
      </c>
      <c r="I25" s="6">
        <v>736</v>
      </c>
      <c r="J25" s="37">
        <v>28.81</v>
      </c>
      <c r="K25" s="6">
        <v>1432</v>
      </c>
      <c r="L25" s="37">
        <f t="shared" si="1"/>
        <v>60.805</v>
      </c>
      <c r="M25" s="6">
        <v>0</v>
      </c>
      <c r="N25" s="39">
        <v>0.998</v>
      </c>
      <c r="O25" s="35">
        <f>6.75*3.6</f>
        <v>24.3</v>
      </c>
      <c r="P25" s="6">
        <v>1432</v>
      </c>
      <c r="Q25" s="43">
        <v>277.4</v>
      </c>
      <c r="R25" s="37">
        <v>9.8</v>
      </c>
      <c r="S25" s="36"/>
      <c r="T25" s="6"/>
      <c r="U25" s="6"/>
      <c r="V25" s="6"/>
      <c r="W25" s="6"/>
      <c r="X25" s="6"/>
      <c r="Y25" s="35">
        <v>1.503</v>
      </c>
    </row>
    <row r="26" spans="1:26" ht="12.75">
      <c r="A26" s="6">
        <v>2018</v>
      </c>
      <c r="B26" s="53">
        <v>43608</v>
      </c>
      <c r="C26" s="37">
        <v>29.44</v>
      </c>
      <c r="D26" s="6">
        <v>1440</v>
      </c>
      <c r="E26" s="6">
        <v>14.76</v>
      </c>
      <c r="F26" s="6">
        <v>509</v>
      </c>
      <c r="G26" s="37">
        <v>22.15</v>
      </c>
      <c r="H26" s="37">
        <v>92.8</v>
      </c>
      <c r="I26" s="6">
        <v>536</v>
      </c>
      <c r="J26" s="37">
        <v>30.44</v>
      </c>
      <c r="K26" s="6">
        <v>1435</v>
      </c>
      <c r="L26" s="37">
        <v>52.95</v>
      </c>
      <c r="M26" s="6">
        <v>0</v>
      </c>
      <c r="N26" s="6">
        <v>0.289</v>
      </c>
      <c r="O26" s="35">
        <f>3.8*3.6</f>
        <v>13.68</v>
      </c>
      <c r="P26" s="6">
        <v>1502</v>
      </c>
      <c r="Q26" s="36">
        <v>305.2</v>
      </c>
      <c r="R26" s="37">
        <v>0.963</v>
      </c>
      <c r="S26" s="36">
        <v>384.6</v>
      </c>
      <c r="T26" s="6">
        <v>1435</v>
      </c>
      <c r="U26" s="6">
        <v>25.59</v>
      </c>
      <c r="V26" s="6">
        <v>1434</v>
      </c>
      <c r="W26" s="6">
        <v>-15.27</v>
      </c>
      <c r="X26" s="6">
        <v>2359</v>
      </c>
      <c r="Y26" s="35">
        <v>1.103</v>
      </c>
      <c r="Z26" s="32"/>
    </row>
    <row r="27" spans="1:25" ht="12.75">
      <c r="A27" s="6">
        <v>2018</v>
      </c>
      <c r="B27" s="53">
        <v>43609</v>
      </c>
      <c r="C27" s="37">
        <v>25.95</v>
      </c>
      <c r="D27" s="6">
        <v>1218</v>
      </c>
      <c r="E27" s="37">
        <v>14.58</v>
      </c>
      <c r="F27" s="6">
        <v>2359</v>
      </c>
      <c r="G27" s="37">
        <v>19.35</v>
      </c>
      <c r="H27" s="37">
        <v>90.8</v>
      </c>
      <c r="I27" s="6">
        <v>622</v>
      </c>
      <c r="J27" s="37">
        <v>61.77</v>
      </c>
      <c r="K27" s="6">
        <v>1328</v>
      </c>
      <c r="L27" s="37">
        <v>78.8</v>
      </c>
      <c r="M27" s="6">
        <v>0</v>
      </c>
      <c r="N27" s="39">
        <v>1.602</v>
      </c>
      <c r="O27" s="39">
        <f>6.65*3.6</f>
        <v>23.94</v>
      </c>
      <c r="P27" s="6">
        <v>1618</v>
      </c>
      <c r="Q27" s="36">
        <v>222.4</v>
      </c>
      <c r="R27" s="37">
        <v>4.096</v>
      </c>
      <c r="S27" s="36">
        <v>690.5</v>
      </c>
      <c r="T27" s="6">
        <v>1217</v>
      </c>
      <c r="U27" s="37">
        <v>23.19</v>
      </c>
      <c r="V27" s="6">
        <v>1233</v>
      </c>
      <c r="W27" s="6">
        <v>-15.73</v>
      </c>
      <c r="X27" s="6">
        <v>47</v>
      </c>
      <c r="Y27" s="35">
        <v>1.075</v>
      </c>
    </row>
    <row r="28" spans="1:25" ht="12.75">
      <c r="A28" s="6">
        <v>2018</v>
      </c>
      <c r="B28" s="53">
        <v>43610</v>
      </c>
      <c r="C28" s="37">
        <v>23.1</v>
      </c>
      <c r="D28" s="6">
        <v>1613</v>
      </c>
      <c r="E28" s="6">
        <v>9.09</v>
      </c>
      <c r="F28" s="6">
        <v>605</v>
      </c>
      <c r="G28" s="37">
        <v>15.37</v>
      </c>
      <c r="H28" s="37">
        <v>97.4</v>
      </c>
      <c r="I28" s="6">
        <v>805</v>
      </c>
      <c r="J28" s="37">
        <v>38.08</v>
      </c>
      <c r="K28" s="6">
        <v>1524</v>
      </c>
      <c r="L28" s="37">
        <v>71.7</v>
      </c>
      <c r="M28" s="6">
        <v>0</v>
      </c>
      <c r="N28" s="6">
        <v>0.363</v>
      </c>
      <c r="O28" s="39">
        <f>3.8*3.6</f>
        <v>13.68</v>
      </c>
      <c r="P28" s="6">
        <v>1410</v>
      </c>
      <c r="Q28" s="36">
        <v>226.4</v>
      </c>
      <c r="R28" s="6">
        <v>6.19</v>
      </c>
      <c r="S28" s="36">
        <v>625.6</v>
      </c>
      <c r="T28" s="6">
        <v>1117</v>
      </c>
      <c r="U28" s="6">
        <v>28.15</v>
      </c>
      <c r="V28" s="6">
        <v>1331</v>
      </c>
      <c r="W28" s="6">
        <v>-26.68</v>
      </c>
      <c r="X28" s="6">
        <v>615</v>
      </c>
      <c r="Y28" s="35">
        <v>1.184</v>
      </c>
    </row>
    <row r="29" spans="1:25" ht="12.75">
      <c r="A29" s="6">
        <v>2018</v>
      </c>
      <c r="B29" s="53">
        <v>43611</v>
      </c>
      <c r="C29" s="37">
        <v>26.59</v>
      </c>
      <c r="D29" s="6">
        <v>1546</v>
      </c>
      <c r="E29" s="37">
        <v>7.77</v>
      </c>
      <c r="F29" s="6">
        <v>644</v>
      </c>
      <c r="G29" s="37">
        <v>16.02</v>
      </c>
      <c r="H29" s="37">
        <v>97.1</v>
      </c>
      <c r="I29" s="6">
        <v>615</v>
      </c>
      <c r="J29" s="6">
        <v>19.24</v>
      </c>
      <c r="K29" s="6">
        <v>1349</v>
      </c>
      <c r="L29" s="37">
        <v>61.81</v>
      </c>
      <c r="M29" s="6">
        <v>0</v>
      </c>
      <c r="N29" s="39">
        <v>0.379</v>
      </c>
      <c r="O29" s="39">
        <f>3.5*3.6</f>
        <v>12.6</v>
      </c>
      <c r="P29" s="6">
        <v>1111</v>
      </c>
      <c r="Q29" s="37">
        <v>7.26</v>
      </c>
      <c r="R29" s="6">
        <v>6.69</v>
      </c>
      <c r="S29" s="36">
        <v>530.6</v>
      </c>
      <c r="T29" s="6">
        <v>1212</v>
      </c>
      <c r="U29" s="6">
        <v>32.95</v>
      </c>
      <c r="V29" s="6">
        <v>1259</v>
      </c>
      <c r="W29" s="6">
        <v>-27.42</v>
      </c>
      <c r="X29" s="6">
        <v>628</v>
      </c>
      <c r="Y29" s="35">
        <v>1.426</v>
      </c>
    </row>
    <row r="30" spans="1:25" ht="12.75">
      <c r="A30" s="6">
        <v>2018</v>
      </c>
      <c r="B30" s="53">
        <v>43612</v>
      </c>
      <c r="C30" s="37">
        <v>29.71</v>
      </c>
      <c r="D30" s="6">
        <v>1435</v>
      </c>
      <c r="E30" s="6">
        <v>8.96</v>
      </c>
      <c r="F30" s="6">
        <v>644</v>
      </c>
      <c r="G30" s="6">
        <v>18.78</v>
      </c>
      <c r="H30" s="37">
        <v>88.8</v>
      </c>
      <c r="I30" s="6">
        <v>658</v>
      </c>
      <c r="J30" s="37">
        <v>16.71</v>
      </c>
      <c r="K30" s="6">
        <v>1706</v>
      </c>
      <c r="L30" s="37">
        <v>55.55</v>
      </c>
      <c r="M30" s="6">
        <v>0</v>
      </c>
      <c r="N30" s="6">
        <v>0.345</v>
      </c>
      <c r="O30" s="39">
        <f>3.35*3.6</f>
        <v>12.06</v>
      </c>
      <c r="P30" s="6">
        <v>1212</v>
      </c>
      <c r="Q30" s="36">
        <v>25.91</v>
      </c>
      <c r="R30" s="37">
        <v>6.392</v>
      </c>
      <c r="S30" s="36">
        <v>515.7</v>
      </c>
      <c r="T30" s="6">
        <v>1236</v>
      </c>
      <c r="U30" s="37">
        <v>37.54</v>
      </c>
      <c r="V30" s="6">
        <v>1304</v>
      </c>
      <c r="W30" s="37">
        <v>-25.48</v>
      </c>
      <c r="X30" s="6">
        <v>649</v>
      </c>
      <c r="Y30" s="35">
        <v>1.521</v>
      </c>
    </row>
    <row r="31" spans="1:25" ht="12.75">
      <c r="A31" s="6">
        <v>2018</v>
      </c>
      <c r="B31" s="53">
        <v>43613</v>
      </c>
      <c r="C31" s="37">
        <v>30.64</v>
      </c>
      <c r="D31" s="6">
        <v>1417</v>
      </c>
      <c r="E31" s="37">
        <v>12.52</v>
      </c>
      <c r="F31" s="6">
        <v>620</v>
      </c>
      <c r="G31" s="6">
        <v>21.96</v>
      </c>
      <c r="H31" s="37">
        <v>93.2</v>
      </c>
      <c r="I31" s="6">
        <v>627</v>
      </c>
      <c r="J31" s="37">
        <v>35.68</v>
      </c>
      <c r="K31" s="6">
        <v>1515</v>
      </c>
      <c r="L31" s="37">
        <v>63.56</v>
      </c>
      <c r="M31" s="6">
        <v>0</v>
      </c>
      <c r="N31" s="39">
        <v>0.761</v>
      </c>
      <c r="O31" s="35">
        <f>6.2*3.6</f>
        <v>22.32</v>
      </c>
      <c r="P31" s="6">
        <v>1245</v>
      </c>
      <c r="Q31" s="36">
        <v>300.1</v>
      </c>
      <c r="R31" s="37">
        <v>5.984</v>
      </c>
      <c r="S31" s="36">
        <v>508.7</v>
      </c>
      <c r="T31" s="6">
        <v>1137</v>
      </c>
      <c r="U31" s="37">
        <v>31.94</v>
      </c>
      <c r="V31" s="6">
        <v>1302</v>
      </c>
      <c r="W31" s="37">
        <v>-18.39</v>
      </c>
      <c r="X31" s="6">
        <v>645</v>
      </c>
      <c r="Y31" s="35">
        <v>1.687</v>
      </c>
    </row>
    <row r="32" spans="1:25" ht="12.75">
      <c r="A32" s="6">
        <v>2018</v>
      </c>
      <c r="B32" s="53">
        <v>43614</v>
      </c>
      <c r="C32" s="37">
        <v>30.63</v>
      </c>
      <c r="D32" s="6">
        <v>1453</v>
      </c>
      <c r="E32" s="37">
        <v>16.57</v>
      </c>
      <c r="F32" s="6">
        <v>641</v>
      </c>
      <c r="G32" s="37">
        <v>23.22</v>
      </c>
      <c r="H32" s="37">
        <v>91.8</v>
      </c>
      <c r="I32" s="6">
        <v>645</v>
      </c>
      <c r="J32" s="6">
        <v>39.66</v>
      </c>
      <c r="K32" s="6">
        <v>1447</v>
      </c>
      <c r="L32" s="37">
        <v>67.97</v>
      </c>
      <c r="M32" s="6">
        <v>0</v>
      </c>
      <c r="N32" s="39">
        <v>0.369</v>
      </c>
      <c r="O32" s="39">
        <f>4.1*3.6</f>
        <v>14.76</v>
      </c>
      <c r="P32" s="6">
        <v>454</v>
      </c>
      <c r="Q32" s="36">
        <v>201.7</v>
      </c>
      <c r="R32" s="37">
        <v>5.617</v>
      </c>
      <c r="S32" s="36">
        <v>521</v>
      </c>
      <c r="T32" s="6">
        <v>1252</v>
      </c>
      <c r="U32" s="37">
        <v>38.75</v>
      </c>
      <c r="V32" s="6">
        <v>1305</v>
      </c>
      <c r="W32" s="37">
        <v>-13.61</v>
      </c>
      <c r="X32" s="6">
        <v>311</v>
      </c>
      <c r="Y32" s="35">
        <v>1.34</v>
      </c>
    </row>
    <row r="33" spans="1:25" ht="12.75">
      <c r="A33" s="6">
        <v>2018</v>
      </c>
      <c r="B33" s="53">
        <v>43615</v>
      </c>
      <c r="C33" s="37">
        <v>31.7</v>
      </c>
      <c r="D33" s="6">
        <v>1358</v>
      </c>
      <c r="E33" s="6">
        <v>16.84</v>
      </c>
      <c r="F33" s="6">
        <v>652</v>
      </c>
      <c r="G33" s="6">
        <v>23.67</v>
      </c>
      <c r="H33" s="37">
        <v>95.9</v>
      </c>
      <c r="I33" s="6">
        <v>703</v>
      </c>
      <c r="J33" s="37">
        <v>33.16</v>
      </c>
      <c r="K33" s="6">
        <v>1526</v>
      </c>
      <c r="L33" s="37">
        <v>65.2</v>
      </c>
      <c r="M33" s="6">
        <v>0</v>
      </c>
      <c r="N33" s="35">
        <v>0.766</v>
      </c>
      <c r="O33" s="39">
        <f>5.525*3.6</f>
        <v>19.89</v>
      </c>
      <c r="P33" s="6">
        <v>1244</v>
      </c>
      <c r="Q33" s="36">
        <v>334.2</v>
      </c>
      <c r="R33" s="37">
        <v>6.086</v>
      </c>
      <c r="S33" s="36">
        <v>595.4</v>
      </c>
      <c r="T33" s="6">
        <v>1332</v>
      </c>
      <c r="U33" s="37">
        <v>34.39</v>
      </c>
      <c r="V33" s="6">
        <v>1249</v>
      </c>
      <c r="W33" s="37">
        <v>-14.88</v>
      </c>
      <c r="X33" s="6">
        <v>655</v>
      </c>
      <c r="Y33" s="35">
        <v>1.866</v>
      </c>
    </row>
    <row r="34" spans="1:25" ht="12.75">
      <c r="A34" s="6">
        <v>2018</v>
      </c>
      <c r="B34" s="53">
        <v>43616</v>
      </c>
      <c r="C34" s="37">
        <v>30.7</v>
      </c>
      <c r="D34" s="6">
        <v>1448</v>
      </c>
      <c r="E34" s="37">
        <v>15.77</v>
      </c>
      <c r="F34" s="6">
        <v>423</v>
      </c>
      <c r="G34" s="37">
        <v>22.85</v>
      </c>
      <c r="H34" s="37">
        <v>93.8</v>
      </c>
      <c r="I34" s="6">
        <v>434</v>
      </c>
      <c r="J34" s="37">
        <v>33.49</v>
      </c>
      <c r="K34" s="6">
        <v>1604</v>
      </c>
      <c r="L34" s="37">
        <v>64.04</v>
      </c>
      <c r="M34" s="6">
        <v>0</v>
      </c>
      <c r="N34" s="35">
        <v>0.904</v>
      </c>
      <c r="O34" s="39">
        <f>6.425*3.6</f>
        <v>23.13</v>
      </c>
      <c r="P34" s="6">
        <v>1332</v>
      </c>
      <c r="Q34" s="36">
        <v>270.9</v>
      </c>
      <c r="R34" s="37">
        <v>4.902</v>
      </c>
      <c r="S34" s="36">
        <v>619.1</v>
      </c>
      <c r="T34" s="6">
        <v>1036</v>
      </c>
      <c r="U34" s="37">
        <v>26.94</v>
      </c>
      <c r="V34" s="6">
        <v>1334</v>
      </c>
      <c r="W34" s="6">
        <v>-16.26</v>
      </c>
      <c r="X34" s="6">
        <v>443</v>
      </c>
      <c r="Y34" s="35">
        <v>1.721</v>
      </c>
    </row>
    <row r="35" spans="3:25" ht="12.75">
      <c r="C35" s="40">
        <f>AVERAGE(C4:C34)</f>
        <v>29.030645161290334</v>
      </c>
      <c r="D35" s="33"/>
      <c r="E35" s="40">
        <f>AVERAGE(E4:E34)</f>
        <v>14.008064516129028</v>
      </c>
      <c r="F35" s="33"/>
      <c r="G35" s="40">
        <f>AVERAGE(G4:G34)</f>
        <v>21.380967741935482</v>
      </c>
      <c r="H35" s="40">
        <f>AVERAGE(H4:H34)</f>
        <v>93.00967741935486</v>
      </c>
      <c r="I35" s="33"/>
      <c r="J35" s="40">
        <f>AVERAGE(J4:J34)</f>
        <v>40.00290322580646</v>
      </c>
      <c r="K35" s="33"/>
      <c r="L35" s="40">
        <f>AVERAGE(L4:L34)</f>
        <v>66.72129032258063</v>
      </c>
      <c r="M35" s="41">
        <f>SUM(M4:M34)</f>
        <v>14.2</v>
      </c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41">
        <f>SUM(Y4:Y34)</f>
        <v>44.223</v>
      </c>
    </row>
  </sheetData>
  <sheetProtection/>
  <mergeCells count="3">
    <mergeCell ref="A1:B1"/>
    <mergeCell ref="A2:A3"/>
    <mergeCell ref="B2:B3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34"/>
  <sheetViews>
    <sheetView view="pageBreakPreview" zoomScale="75" zoomScaleSheetLayoutView="75" zoomScalePageLayoutView="0" workbookViewId="0" topLeftCell="B2">
      <selection activeCell="Q34" sqref="Q34"/>
    </sheetView>
  </sheetViews>
  <sheetFormatPr defaultColWidth="9.140625" defaultRowHeight="12.75"/>
  <cols>
    <col min="1" max="1" width="7.140625" style="0" customWidth="1"/>
    <col min="2" max="2" width="8.28125" style="0" customWidth="1"/>
    <col min="3" max="3" width="9.7109375" style="0" customWidth="1"/>
    <col min="6" max="6" width="8.28125" style="0" customWidth="1"/>
    <col min="7" max="7" width="9.7109375" style="0" customWidth="1"/>
    <col min="9" max="9" width="7.28125" style="0" customWidth="1"/>
    <col min="11" max="11" width="7.140625" style="0" customWidth="1"/>
    <col min="13" max="13" width="7.28125" style="0" customWidth="1"/>
    <col min="16" max="16" width="7.7109375" style="0" customWidth="1"/>
    <col min="17" max="17" width="6.57421875" style="0" customWidth="1"/>
    <col min="18" max="18" width="7.7109375" style="0" customWidth="1"/>
    <col min="19" max="19" width="8.7109375" style="0" customWidth="1"/>
    <col min="20" max="20" width="8.00390625" style="0" customWidth="1"/>
    <col min="21" max="21" width="8.140625" style="0" customWidth="1"/>
    <col min="22" max="22" width="7.00390625" style="0" customWidth="1"/>
    <col min="23" max="23" width="7.7109375" style="0" customWidth="1"/>
    <col min="24" max="24" width="6.7109375" style="0" customWidth="1"/>
    <col min="25" max="25" width="7.28125" style="0" customWidth="1"/>
  </cols>
  <sheetData>
    <row r="1" spans="1:5" ht="12.75">
      <c r="A1" s="65">
        <v>39448</v>
      </c>
      <c r="B1" s="65"/>
      <c r="C1" s="8">
        <v>1</v>
      </c>
      <c r="E1">
        <v>3.6</v>
      </c>
    </row>
    <row r="2" spans="1:25" ht="33.75">
      <c r="A2" s="66" t="s">
        <v>12</v>
      </c>
      <c r="B2" s="68" t="s">
        <v>13</v>
      </c>
      <c r="C2" s="9" t="s">
        <v>14</v>
      </c>
      <c r="D2" s="9" t="s">
        <v>15</v>
      </c>
      <c r="E2" s="9" t="s">
        <v>16</v>
      </c>
      <c r="F2" s="9" t="s">
        <v>17</v>
      </c>
      <c r="G2" s="9" t="s">
        <v>18</v>
      </c>
      <c r="H2" s="9" t="s">
        <v>19</v>
      </c>
      <c r="I2" s="9" t="s">
        <v>15</v>
      </c>
      <c r="J2" s="9" t="s">
        <v>20</v>
      </c>
      <c r="K2" s="9" t="s">
        <v>17</v>
      </c>
      <c r="L2" s="9" t="s">
        <v>21</v>
      </c>
      <c r="M2" s="10" t="s">
        <v>22</v>
      </c>
      <c r="N2" s="9" t="s">
        <v>23</v>
      </c>
      <c r="O2" s="9" t="s">
        <v>24</v>
      </c>
      <c r="P2" s="9" t="s">
        <v>15</v>
      </c>
      <c r="Q2" s="9" t="s">
        <v>35</v>
      </c>
      <c r="R2" s="9" t="s">
        <v>25</v>
      </c>
      <c r="S2" s="9" t="s">
        <v>26</v>
      </c>
      <c r="T2" s="10" t="s">
        <v>15</v>
      </c>
      <c r="U2" s="9" t="s">
        <v>27</v>
      </c>
      <c r="V2" s="9" t="s">
        <v>15</v>
      </c>
      <c r="W2" s="9" t="s">
        <v>28</v>
      </c>
      <c r="X2" s="9" t="s">
        <v>17</v>
      </c>
      <c r="Y2" s="10" t="s">
        <v>29</v>
      </c>
    </row>
    <row r="3" spans="1:25" ht="12.75">
      <c r="A3" s="67"/>
      <c r="B3" s="69"/>
      <c r="C3" s="10" t="s">
        <v>30</v>
      </c>
      <c r="D3" s="10"/>
      <c r="E3" s="10" t="s">
        <v>30</v>
      </c>
      <c r="F3" s="10"/>
      <c r="G3" s="10" t="s">
        <v>30</v>
      </c>
      <c r="H3" s="10" t="s">
        <v>31</v>
      </c>
      <c r="I3" s="10"/>
      <c r="J3" s="10" t="s">
        <v>31</v>
      </c>
      <c r="K3" s="10"/>
      <c r="L3" s="10" t="s">
        <v>31</v>
      </c>
      <c r="M3" s="10" t="s">
        <v>32</v>
      </c>
      <c r="N3" s="10" t="s">
        <v>33</v>
      </c>
      <c r="O3" s="10" t="s">
        <v>42</v>
      </c>
      <c r="P3" s="10"/>
      <c r="Q3" s="10"/>
      <c r="R3" s="10" t="s">
        <v>34</v>
      </c>
      <c r="S3" s="10"/>
      <c r="T3" s="10"/>
      <c r="U3" s="10"/>
      <c r="V3" s="10"/>
      <c r="W3" s="10"/>
      <c r="X3" s="10"/>
      <c r="Y3" s="10" t="s">
        <v>32</v>
      </c>
    </row>
    <row r="4" spans="1:25" ht="12.75">
      <c r="A4" s="6">
        <v>2019</v>
      </c>
      <c r="B4" s="53">
        <v>43617</v>
      </c>
      <c r="C4" s="37">
        <v>30.77</v>
      </c>
      <c r="D4" s="6">
        <v>1423</v>
      </c>
      <c r="E4" s="6">
        <v>14.85</v>
      </c>
      <c r="F4" s="6">
        <v>619</v>
      </c>
      <c r="G4" s="6">
        <v>22.65</v>
      </c>
      <c r="H4" s="37">
        <v>96.9</v>
      </c>
      <c r="I4" s="6">
        <v>647</v>
      </c>
      <c r="J4" s="37">
        <v>34.89</v>
      </c>
      <c r="K4" s="6">
        <v>1428</v>
      </c>
      <c r="L4" s="37">
        <v>65.92</v>
      </c>
      <c r="M4" s="6">
        <v>0</v>
      </c>
      <c r="N4" s="35">
        <v>0.469</v>
      </c>
      <c r="O4" s="39">
        <f>4.625*3.6</f>
        <v>16.650000000000002</v>
      </c>
      <c r="P4" s="6">
        <v>1220</v>
      </c>
      <c r="Q4" s="36">
        <v>280.2</v>
      </c>
      <c r="R4" s="37">
        <v>5.546</v>
      </c>
      <c r="S4" s="36">
        <v>536.2</v>
      </c>
      <c r="T4" s="6">
        <v>1307</v>
      </c>
      <c r="U4" s="34">
        <v>37.42</v>
      </c>
      <c r="V4" s="6">
        <v>1246</v>
      </c>
      <c r="W4" s="6">
        <v>-17.39</v>
      </c>
      <c r="X4" s="6">
        <v>652</v>
      </c>
      <c r="Y4" s="39">
        <v>1.491</v>
      </c>
    </row>
    <row r="5" spans="1:25" ht="12.75">
      <c r="A5" s="6">
        <v>2019</v>
      </c>
      <c r="B5" s="53">
        <v>43618</v>
      </c>
      <c r="C5" s="6">
        <v>30.44</v>
      </c>
      <c r="D5" s="6">
        <v>1319</v>
      </c>
      <c r="E5" s="37">
        <v>14.85</v>
      </c>
      <c r="F5" s="6">
        <v>606</v>
      </c>
      <c r="G5" s="37">
        <v>22.63</v>
      </c>
      <c r="H5" s="37">
        <v>96.5</v>
      </c>
      <c r="I5" s="6">
        <v>629</v>
      </c>
      <c r="J5" s="37">
        <v>32.3</v>
      </c>
      <c r="K5" s="6">
        <v>1603</v>
      </c>
      <c r="L5" s="37">
        <v>67.31</v>
      </c>
      <c r="M5" s="6">
        <v>0</v>
      </c>
      <c r="N5" s="35">
        <v>0.811</v>
      </c>
      <c r="O5" s="35">
        <f>6.125*3.6</f>
        <v>22.05</v>
      </c>
      <c r="P5" s="6">
        <v>1308</v>
      </c>
      <c r="Q5" s="36">
        <v>280.3</v>
      </c>
      <c r="R5" s="37">
        <v>5.796</v>
      </c>
      <c r="S5" s="36">
        <v>625.6</v>
      </c>
      <c r="T5" s="6">
        <v>1305</v>
      </c>
      <c r="U5" s="6">
        <v>36.62</v>
      </c>
      <c r="V5" s="6">
        <v>1244</v>
      </c>
      <c r="W5" s="37">
        <v>-17.6</v>
      </c>
      <c r="X5" s="6">
        <v>643</v>
      </c>
      <c r="Y5" s="35">
        <v>1.684</v>
      </c>
    </row>
    <row r="6" spans="1:25" ht="12.75">
      <c r="A6" s="6">
        <v>2019</v>
      </c>
      <c r="B6" s="53">
        <v>43619</v>
      </c>
      <c r="C6" s="37">
        <v>21.27</v>
      </c>
      <c r="D6" s="6">
        <v>948</v>
      </c>
      <c r="E6" s="37">
        <v>14.58</v>
      </c>
      <c r="F6" s="6">
        <v>2340</v>
      </c>
      <c r="G6" s="37">
        <v>17.64</v>
      </c>
      <c r="H6" s="37">
        <v>98.1</v>
      </c>
      <c r="I6" s="6">
        <v>2349</v>
      </c>
      <c r="J6" s="37">
        <v>72.4</v>
      </c>
      <c r="K6" s="6">
        <v>947</v>
      </c>
      <c r="L6" s="37">
        <v>92.2</v>
      </c>
      <c r="M6" s="6">
        <v>12.4</v>
      </c>
      <c r="N6" s="39">
        <v>0.924</v>
      </c>
      <c r="O6" s="39">
        <f>7.02*3.6</f>
        <v>25.272</v>
      </c>
      <c r="P6" s="6">
        <v>926</v>
      </c>
      <c r="Q6" s="36">
        <v>166.6</v>
      </c>
      <c r="R6" s="37">
        <v>2.054</v>
      </c>
      <c r="S6" s="36">
        <v>388.2</v>
      </c>
      <c r="T6" s="6">
        <v>945</v>
      </c>
      <c r="U6" s="37">
        <v>5.207</v>
      </c>
      <c r="V6" s="6">
        <v>1605</v>
      </c>
      <c r="W6" s="37">
        <v>-21.25</v>
      </c>
      <c r="X6" s="6">
        <v>2337</v>
      </c>
      <c r="Y6" s="35">
        <v>0.357</v>
      </c>
    </row>
    <row r="7" spans="1:25" ht="12.75">
      <c r="A7" s="6">
        <v>2019</v>
      </c>
      <c r="B7" s="53">
        <v>43620</v>
      </c>
      <c r="C7" s="6">
        <v>23.17</v>
      </c>
      <c r="D7" s="6">
        <v>1435</v>
      </c>
      <c r="E7" s="37">
        <v>11.4</v>
      </c>
      <c r="F7" s="6">
        <v>2358</v>
      </c>
      <c r="G7" s="37">
        <v>16.39</v>
      </c>
      <c r="H7" s="37">
        <v>99.1</v>
      </c>
      <c r="I7" s="6">
        <v>657</v>
      </c>
      <c r="J7" s="37">
        <v>44.98</v>
      </c>
      <c r="K7" s="6">
        <v>1602</v>
      </c>
      <c r="L7" s="37">
        <v>82.3</v>
      </c>
      <c r="M7" s="6">
        <v>0.4</v>
      </c>
      <c r="N7" s="39">
        <v>1.262</v>
      </c>
      <c r="O7" s="35">
        <f>6.35*3.6</f>
        <v>22.86</v>
      </c>
      <c r="P7" s="6">
        <v>1304</v>
      </c>
      <c r="Q7" s="36">
        <v>105.7</v>
      </c>
      <c r="R7" s="37">
        <v>5.07</v>
      </c>
      <c r="S7" s="36">
        <v>672.2</v>
      </c>
      <c r="T7" s="6">
        <v>1211</v>
      </c>
      <c r="U7" s="6">
        <v>25.72</v>
      </c>
      <c r="V7" s="6">
        <v>1352</v>
      </c>
      <c r="W7" s="37">
        <v>-23.96</v>
      </c>
      <c r="X7" s="6">
        <v>2149</v>
      </c>
      <c r="Y7" s="35">
        <v>1.194</v>
      </c>
    </row>
    <row r="8" spans="1:25" ht="12.75">
      <c r="A8" s="6">
        <v>2019</v>
      </c>
      <c r="B8" s="53">
        <v>43621</v>
      </c>
      <c r="C8" s="6">
        <v>23.29</v>
      </c>
      <c r="D8" s="6">
        <v>1540</v>
      </c>
      <c r="E8" s="37">
        <v>8.95</v>
      </c>
      <c r="F8" s="6">
        <v>622</v>
      </c>
      <c r="G8" s="37">
        <v>14.86</v>
      </c>
      <c r="H8" s="37">
        <v>92.8</v>
      </c>
      <c r="I8" s="6">
        <v>148</v>
      </c>
      <c r="J8" s="37">
        <v>35.36</v>
      </c>
      <c r="K8" s="6">
        <v>1546</v>
      </c>
      <c r="L8" s="37">
        <v>69.87</v>
      </c>
      <c r="M8" s="6">
        <v>0</v>
      </c>
      <c r="N8" s="35">
        <v>1.593</v>
      </c>
      <c r="O8" s="39">
        <f>6.05*3.6</f>
        <v>21.78</v>
      </c>
      <c r="P8" s="6">
        <v>949</v>
      </c>
      <c r="Q8" s="36">
        <v>76.8</v>
      </c>
      <c r="R8" s="37">
        <v>6.422</v>
      </c>
      <c r="S8" s="36">
        <v>497.6</v>
      </c>
      <c r="T8" s="6">
        <v>1210</v>
      </c>
      <c r="U8" s="37">
        <v>33.76</v>
      </c>
      <c r="V8" s="6">
        <v>1340</v>
      </c>
      <c r="W8" s="6">
        <v>-24.23</v>
      </c>
      <c r="X8" s="6">
        <v>702</v>
      </c>
      <c r="Y8" s="35">
        <v>1.456</v>
      </c>
    </row>
    <row r="9" spans="1:25" ht="12.75">
      <c r="A9" s="6">
        <v>2019</v>
      </c>
      <c r="B9" s="53">
        <v>43622</v>
      </c>
      <c r="C9" s="6">
        <v>25.82</v>
      </c>
      <c r="D9" s="6">
        <v>1359</v>
      </c>
      <c r="E9" s="37">
        <v>10.61</v>
      </c>
      <c r="F9" s="6">
        <v>609</v>
      </c>
      <c r="G9" s="37">
        <v>17.14</v>
      </c>
      <c r="H9" s="37">
        <v>90.2</v>
      </c>
      <c r="I9" s="6">
        <v>611</v>
      </c>
      <c r="J9" s="37">
        <v>29.38</v>
      </c>
      <c r="K9" s="6">
        <v>1552</v>
      </c>
      <c r="L9" s="37">
        <v>64.59</v>
      </c>
      <c r="M9" s="6">
        <v>0</v>
      </c>
      <c r="N9" s="39">
        <v>1.11</v>
      </c>
      <c r="O9" s="39">
        <f>4.55*3.6</f>
        <v>16.38</v>
      </c>
      <c r="P9" s="6">
        <v>723</v>
      </c>
      <c r="Q9" s="36">
        <v>91.4</v>
      </c>
      <c r="R9" s="34">
        <v>6.462</v>
      </c>
      <c r="S9" s="36">
        <v>528.2</v>
      </c>
      <c r="T9" s="6">
        <v>1224</v>
      </c>
      <c r="U9" s="37">
        <v>37.76</v>
      </c>
      <c r="V9" s="6">
        <v>1316</v>
      </c>
      <c r="W9" s="37">
        <v>-22.3</v>
      </c>
      <c r="X9" s="6">
        <v>148</v>
      </c>
      <c r="Y9" s="39">
        <v>1.522</v>
      </c>
    </row>
    <row r="10" spans="1:25" ht="12.75">
      <c r="A10" s="6">
        <v>2019</v>
      </c>
      <c r="B10" s="53">
        <v>43623</v>
      </c>
      <c r="C10" s="37">
        <v>27.32</v>
      </c>
      <c r="D10" s="6">
        <v>1545</v>
      </c>
      <c r="E10" s="37">
        <v>10.74</v>
      </c>
      <c r="F10" s="6">
        <v>636</v>
      </c>
      <c r="G10" s="37">
        <v>17.86</v>
      </c>
      <c r="H10" s="37">
        <v>90.9</v>
      </c>
      <c r="I10" s="6">
        <v>642</v>
      </c>
      <c r="J10" s="37">
        <v>30.58</v>
      </c>
      <c r="K10" s="6">
        <v>1542</v>
      </c>
      <c r="L10" s="37">
        <v>63.38</v>
      </c>
      <c r="M10" s="6">
        <v>0</v>
      </c>
      <c r="N10" s="35">
        <v>0.53</v>
      </c>
      <c r="O10" s="35">
        <f>4.475*3.6</f>
        <v>16.11</v>
      </c>
      <c r="P10" s="6">
        <v>939</v>
      </c>
      <c r="Q10" s="36">
        <v>77.4</v>
      </c>
      <c r="R10" s="37">
        <v>6.247</v>
      </c>
      <c r="S10" s="36">
        <v>520.7</v>
      </c>
      <c r="T10" s="6">
        <v>1302</v>
      </c>
      <c r="U10" s="37">
        <v>38.88</v>
      </c>
      <c r="V10" s="6">
        <v>1306</v>
      </c>
      <c r="W10" s="37">
        <v>-23.72</v>
      </c>
      <c r="X10" s="6">
        <v>658</v>
      </c>
      <c r="Y10" s="35">
        <v>1.45</v>
      </c>
    </row>
    <row r="11" spans="1:25" ht="12.75">
      <c r="A11" s="6">
        <v>2019</v>
      </c>
      <c r="B11" s="53">
        <v>43624</v>
      </c>
      <c r="C11" s="37">
        <v>25.99</v>
      </c>
      <c r="D11" s="6">
        <v>1518</v>
      </c>
      <c r="E11" s="37">
        <v>11.74</v>
      </c>
      <c r="F11" s="6">
        <v>623</v>
      </c>
      <c r="G11" s="37">
        <v>17.46</v>
      </c>
      <c r="H11" s="37">
        <v>88.3</v>
      </c>
      <c r="I11" s="6">
        <v>625</v>
      </c>
      <c r="J11" s="37">
        <v>26.79</v>
      </c>
      <c r="K11" s="6">
        <v>1556</v>
      </c>
      <c r="L11" s="37">
        <v>61.83</v>
      </c>
      <c r="M11" s="6">
        <v>0</v>
      </c>
      <c r="N11" s="35">
        <v>0.348</v>
      </c>
      <c r="O11" s="39">
        <f>3.65*3.6</f>
        <v>13.14</v>
      </c>
      <c r="P11" s="6">
        <v>1218</v>
      </c>
      <c r="Q11" s="36">
        <v>49.56</v>
      </c>
      <c r="R11" s="37">
        <v>5.585</v>
      </c>
      <c r="S11" s="36">
        <v>624.1</v>
      </c>
      <c r="T11" s="6">
        <v>1232</v>
      </c>
      <c r="U11" s="37">
        <v>34.61</v>
      </c>
      <c r="V11" s="6">
        <v>1328</v>
      </c>
      <c r="W11" s="37">
        <v>-22.8</v>
      </c>
      <c r="X11" s="6">
        <v>2356</v>
      </c>
      <c r="Y11" s="39">
        <v>1.256</v>
      </c>
    </row>
    <row r="12" spans="1:25" ht="12.75">
      <c r="A12" s="6">
        <v>2019</v>
      </c>
      <c r="B12" s="53">
        <v>43625</v>
      </c>
      <c r="C12" s="37">
        <v>26.86</v>
      </c>
      <c r="D12" s="6">
        <v>1424</v>
      </c>
      <c r="E12" s="37">
        <v>9.75</v>
      </c>
      <c r="F12" s="6">
        <v>555</v>
      </c>
      <c r="G12" s="37">
        <v>17.38</v>
      </c>
      <c r="H12" s="37">
        <v>93.3</v>
      </c>
      <c r="I12" s="6">
        <v>603</v>
      </c>
      <c r="J12" s="6">
        <v>31.77</v>
      </c>
      <c r="K12" s="6">
        <v>1501</v>
      </c>
      <c r="L12" s="37">
        <v>65.31</v>
      </c>
      <c r="M12" s="6">
        <v>0</v>
      </c>
      <c r="N12" s="39">
        <v>0.891</v>
      </c>
      <c r="O12" s="39">
        <f>5.375*3.6</f>
        <v>19.35</v>
      </c>
      <c r="P12" s="6">
        <v>1130</v>
      </c>
      <c r="Q12" s="36">
        <v>61.44</v>
      </c>
      <c r="R12" s="37">
        <v>6.288</v>
      </c>
      <c r="S12" s="36">
        <v>450.8</v>
      </c>
      <c r="T12" s="6">
        <v>1157</v>
      </c>
      <c r="U12" s="37">
        <v>38.21</v>
      </c>
      <c r="V12" s="6">
        <v>1305</v>
      </c>
      <c r="W12" s="37">
        <v>-23.67</v>
      </c>
      <c r="X12" s="6">
        <v>651</v>
      </c>
      <c r="Y12" s="35">
        <v>1.471</v>
      </c>
    </row>
    <row r="13" spans="1:25" ht="12.75">
      <c r="A13" s="6">
        <v>2019</v>
      </c>
      <c r="B13" s="53">
        <v>43626</v>
      </c>
      <c r="C13" s="6">
        <v>26.99</v>
      </c>
      <c r="D13" s="6">
        <v>1501</v>
      </c>
      <c r="E13" s="37">
        <v>11.07</v>
      </c>
      <c r="F13" s="6">
        <v>632</v>
      </c>
      <c r="G13" s="6">
        <v>18.68</v>
      </c>
      <c r="H13" s="37">
        <v>91.8</v>
      </c>
      <c r="I13" s="6">
        <v>632</v>
      </c>
      <c r="J13" s="37">
        <v>35.35</v>
      </c>
      <c r="K13" s="6">
        <v>1458</v>
      </c>
      <c r="L13" s="37">
        <v>64.26</v>
      </c>
      <c r="M13" s="6">
        <v>0</v>
      </c>
      <c r="N13" s="35">
        <v>1.327</v>
      </c>
      <c r="O13" s="39">
        <f>6.05*3.6</f>
        <v>21.78</v>
      </c>
      <c r="P13" s="6">
        <v>1055</v>
      </c>
      <c r="Q13" s="36">
        <v>87.3</v>
      </c>
      <c r="R13" s="37">
        <v>6.276</v>
      </c>
      <c r="S13" s="36">
        <v>509.6</v>
      </c>
      <c r="T13" s="6">
        <v>1137</v>
      </c>
      <c r="U13" s="37">
        <v>35.89</v>
      </c>
      <c r="V13" s="6">
        <v>1319</v>
      </c>
      <c r="W13" s="37">
        <v>-19.27</v>
      </c>
      <c r="X13" s="6">
        <v>647</v>
      </c>
      <c r="Y13" s="35">
        <v>1.639</v>
      </c>
    </row>
    <row r="14" spans="1:26" ht="12.75">
      <c r="A14" s="6">
        <v>2019</v>
      </c>
      <c r="B14" s="53">
        <v>43627</v>
      </c>
      <c r="C14" s="37">
        <v>28.11</v>
      </c>
      <c r="D14" s="6">
        <v>1512</v>
      </c>
      <c r="E14" s="37">
        <v>12.33</v>
      </c>
      <c r="F14" s="6">
        <v>531</v>
      </c>
      <c r="G14" s="6">
        <v>19.51</v>
      </c>
      <c r="H14" s="37">
        <v>86.9</v>
      </c>
      <c r="I14" s="6">
        <v>236</v>
      </c>
      <c r="J14" s="37">
        <v>33.69</v>
      </c>
      <c r="K14" s="6">
        <v>1417</v>
      </c>
      <c r="L14" s="37">
        <v>62.98</v>
      </c>
      <c r="M14" s="6">
        <v>0</v>
      </c>
      <c r="N14" s="39">
        <v>0.934</v>
      </c>
      <c r="O14" s="35">
        <f>5.6*3.6</f>
        <v>20.16</v>
      </c>
      <c r="P14" s="6">
        <v>1105</v>
      </c>
      <c r="Q14" s="36">
        <v>36.56</v>
      </c>
      <c r="R14" s="37">
        <v>6.055</v>
      </c>
      <c r="S14" s="6">
        <v>524.3</v>
      </c>
      <c r="T14" s="6">
        <v>1202</v>
      </c>
      <c r="U14" s="37">
        <v>37.93</v>
      </c>
      <c r="V14" s="6">
        <v>1344</v>
      </c>
      <c r="W14" s="37">
        <v>-19.21</v>
      </c>
      <c r="X14" s="6">
        <v>545</v>
      </c>
      <c r="Y14" s="35">
        <v>1.618</v>
      </c>
      <c r="Z14" s="13"/>
    </row>
    <row r="15" spans="1:25" ht="12.75">
      <c r="A15" s="6">
        <v>2019</v>
      </c>
      <c r="B15" s="53">
        <v>43628</v>
      </c>
      <c r="C15" s="6">
        <v>28.38</v>
      </c>
      <c r="D15" s="6">
        <v>1431</v>
      </c>
      <c r="E15" s="6">
        <v>12.13</v>
      </c>
      <c r="F15" s="6">
        <v>619</v>
      </c>
      <c r="G15" s="37">
        <v>20.04</v>
      </c>
      <c r="H15" s="37">
        <v>92.9</v>
      </c>
      <c r="I15" s="6">
        <v>623</v>
      </c>
      <c r="J15" s="37">
        <v>32.37</v>
      </c>
      <c r="K15" s="6">
        <v>1528</v>
      </c>
      <c r="L15" s="37">
        <v>65.31</v>
      </c>
      <c r="M15" s="6">
        <v>0</v>
      </c>
      <c r="N15" s="39">
        <v>0.931</v>
      </c>
      <c r="O15" s="35">
        <f>5*3.6</f>
        <v>18</v>
      </c>
      <c r="P15" s="6">
        <v>1256</v>
      </c>
      <c r="Q15" s="36">
        <v>3.297</v>
      </c>
      <c r="R15" s="37">
        <v>5.873</v>
      </c>
      <c r="S15" s="36">
        <v>527.9</v>
      </c>
      <c r="T15" s="6">
        <v>1230</v>
      </c>
      <c r="U15" s="37">
        <v>37.44</v>
      </c>
      <c r="V15" s="6">
        <v>1336</v>
      </c>
      <c r="W15" s="6">
        <v>-19.92</v>
      </c>
      <c r="X15" s="6">
        <v>650</v>
      </c>
      <c r="Y15" s="35">
        <v>1.572</v>
      </c>
    </row>
    <row r="16" spans="1:25" ht="12.75">
      <c r="A16" s="6">
        <v>2019</v>
      </c>
      <c r="B16" s="53">
        <v>43629</v>
      </c>
      <c r="C16" s="6">
        <v>29.24</v>
      </c>
      <c r="D16" s="6">
        <v>1421</v>
      </c>
      <c r="E16" s="37">
        <v>16.18</v>
      </c>
      <c r="F16" s="6">
        <v>59</v>
      </c>
      <c r="G16" s="37">
        <v>21.9</v>
      </c>
      <c r="H16" s="37">
        <v>86.8</v>
      </c>
      <c r="I16" s="6">
        <v>554</v>
      </c>
      <c r="J16" s="6">
        <v>30.51</v>
      </c>
      <c r="K16" s="6">
        <v>1626</v>
      </c>
      <c r="L16" s="37">
        <v>64.41</v>
      </c>
      <c r="M16" s="6">
        <v>0</v>
      </c>
      <c r="N16" s="39">
        <v>1.094</v>
      </c>
      <c r="O16" s="39">
        <f>6.35*3.6</f>
        <v>22.86</v>
      </c>
      <c r="P16" s="6">
        <v>1309</v>
      </c>
      <c r="Q16" s="36">
        <v>354.5</v>
      </c>
      <c r="R16" s="37">
        <v>6.057</v>
      </c>
      <c r="S16" s="36">
        <v>534.5</v>
      </c>
      <c r="T16" s="6">
        <v>1340</v>
      </c>
      <c r="U16" s="37">
        <v>35.33</v>
      </c>
      <c r="V16" s="6">
        <v>1259</v>
      </c>
      <c r="W16" s="37">
        <v>-15.02</v>
      </c>
      <c r="X16" s="6">
        <v>3</v>
      </c>
      <c r="Y16" s="35">
        <v>1.832</v>
      </c>
    </row>
    <row r="17" spans="1:25" ht="12.75">
      <c r="A17" s="6">
        <v>2019</v>
      </c>
      <c r="B17" s="53">
        <v>43630</v>
      </c>
      <c r="C17" s="37">
        <v>29.64</v>
      </c>
      <c r="D17" s="6">
        <v>1328</v>
      </c>
      <c r="E17" s="6">
        <v>14.52</v>
      </c>
      <c r="F17" s="6">
        <v>633</v>
      </c>
      <c r="G17" s="37">
        <v>21.61</v>
      </c>
      <c r="H17" s="37">
        <v>94.1</v>
      </c>
      <c r="I17" s="6">
        <v>645</v>
      </c>
      <c r="J17" s="6">
        <v>28.19</v>
      </c>
      <c r="K17" s="6">
        <v>1329</v>
      </c>
      <c r="L17" s="37">
        <v>61.48</v>
      </c>
      <c r="M17" s="6">
        <v>0</v>
      </c>
      <c r="N17" s="39">
        <v>0.822</v>
      </c>
      <c r="O17" s="35">
        <f>5.225*3.6</f>
        <v>18.81</v>
      </c>
      <c r="P17" s="6">
        <v>1221</v>
      </c>
      <c r="Q17" s="36">
        <v>3.297</v>
      </c>
      <c r="R17" s="37">
        <v>6.111</v>
      </c>
      <c r="S17" s="36">
        <v>536.6</v>
      </c>
      <c r="T17" s="6">
        <v>1250</v>
      </c>
      <c r="U17" s="37">
        <v>35.67</v>
      </c>
      <c r="V17" s="6">
        <v>1309</v>
      </c>
      <c r="W17" s="6">
        <v>-18.34</v>
      </c>
      <c r="X17" s="6">
        <v>656</v>
      </c>
      <c r="Y17" s="35">
        <v>1.728</v>
      </c>
    </row>
    <row r="18" spans="1:25" ht="12.75">
      <c r="A18" s="6">
        <v>2019</v>
      </c>
      <c r="B18" s="53">
        <v>43631</v>
      </c>
      <c r="C18" s="37">
        <v>28.91</v>
      </c>
      <c r="D18" s="6">
        <v>1433</v>
      </c>
      <c r="E18" s="37">
        <v>13.98</v>
      </c>
      <c r="F18" s="6">
        <v>342</v>
      </c>
      <c r="G18" s="6">
        <v>20.54</v>
      </c>
      <c r="H18" s="37">
        <v>83.3</v>
      </c>
      <c r="I18" s="6">
        <v>343</v>
      </c>
      <c r="J18" s="37">
        <v>30.64</v>
      </c>
      <c r="K18" s="6">
        <v>1526</v>
      </c>
      <c r="L18" s="37">
        <v>60.07</v>
      </c>
      <c r="M18" s="6">
        <v>0</v>
      </c>
      <c r="N18" s="35">
        <v>0.802</v>
      </c>
      <c r="O18" s="39">
        <f>5.525*3.6</f>
        <v>19.89</v>
      </c>
      <c r="P18" s="6">
        <v>1306</v>
      </c>
      <c r="Q18" s="36">
        <v>7.63</v>
      </c>
      <c r="R18" s="37">
        <v>6.148</v>
      </c>
      <c r="S18" s="6">
        <v>505.2</v>
      </c>
      <c r="T18" s="6">
        <v>1231</v>
      </c>
      <c r="U18" s="37">
        <v>34.49</v>
      </c>
      <c r="V18" s="6">
        <v>1308</v>
      </c>
      <c r="W18" s="37">
        <v>-19.5</v>
      </c>
      <c r="X18" s="6">
        <v>552</v>
      </c>
      <c r="Y18" s="35">
        <v>1.681</v>
      </c>
    </row>
    <row r="19" spans="1:25" ht="12.75">
      <c r="A19" s="6">
        <v>2019</v>
      </c>
      <c r="B19" s="53">
        <v>43632</v>
      </c>
      <c r="C19" s="37">
        <v>28.51</v>
      </c>
      <c r="D19" s="6">
        <v>1432</v>
      </c>
      <c r="E19" s="37">
        <v>15.31</v>
      </c>
      <c r="F19" s="6">
        <v>218</v>
      </c>
      <c r="G19" s="37">
        <v>20.67</v>
      </c>
      <c r="H19" s="37">
        <v>82</v>
      </c>
      <c r="I19" s="6">
        <v>701</v>
      </c>
      <c r="J19" s="6">
        <v>31.84</v>
      </c>
      <c r="K19" s="6">
        <v>1453</v>
      </c>
      <c r="L19" s="37">
        <v>60.6</v>
      </c>
      <c r="M19" s="6">
        <v>0</v>
      </c>
      <c r="N19" s="35">
        <v>0.462</v>
      </c>
      <c r="O19" s="39">
        <f>4.025*3.6</f>
        <v>14.490000000000002</v>
      </c>
      <c r="P19" s="6">
        <v>1229</v>
      </c>
      <c r="Q19" s="36">
        <v>27.22</v>
      </c>
      <c r="R19" s="37">
        <v>5.305</v>
      </c>
      <c r="S19" s="6">
        <v>662.5</v>
      </c>
      <c r="T19" s="6">
        <v>1111</v>
      </c>
      <c r="U19" s="6">
        <v>35.64</v>
      </c>
      <c r="V19" s="6">
        <v>1305</v>
      </c>
      <c r="W19" s="6">
        <v>-17.36</v>
      </c>
      <c r="X19" s="6">
        <v>218</v>
      </c>
      <c r="Y19" s="35">
        <v>1.371</v>
      </c>
    </row>
    <row r="20" spans="1:25" ht="12.75">
      <c r="A20" s="6">
        <v>2019</v>
      </c>
      <c r="B20" s="53">
        <v>43633</v>
      </c>
      <c r="C20" s="37">
        <v>27.26</v>
      </c>
      <c r="D20" s="6">
        <v>1358</v>
      </c>
      <c r="E20" s="6">
        <v>14.32</v>
      </c>
      <c r="F20" s="6">
        <v>250</v>
      </c>
      <c r="G20" s="37">
        <v>19.69</v>
      </c>
      <c r="H20" s="37">
        <v>87.5</v>
      </c>
      <c r="I20" s="6">
        <v>613</v>
      </c>
      <c r="J20" s="37">
        <v>34.89</v>
      </c>
      <c r="K20" s="6">
        <v>1552</v>
      </c>
      <c r="L20" s="37">
        <v>63.27</v>
      </c>
      <c r="M20" s="6">
        <v>0</v>
      </c>
      <c r="N20" s="35">
        <v>0.532</v>
      </c>
      <c r="O20" s="35">
        <f>4.775*3.6</f>
        <v>17.19</v>
      </c>
      <c r="P20" s="6">
        <v>1236</v>
      </c>
      <c r="Q20" s="36">
        <v>353.5</v>
      </c>
      <c r="R20" s="37">
        <v>5.582</v>
      </c>
      <c r="S20" s="36">
        <v>557.8</v>
      </c>
      <c r="T20" s="6">
        <v>1238</v>
      </c>
      <c r="U20" s="37">
        <v>31.39</v>
      </c>
      <c r="V20" s="6">
        <v>1254</v>
      </c>
      <c r="W20" s="6">
        <v>-18.55</v>
      </c>
      <c r="X20" s="6">
        <v>316</v>
      </c>
      <c r="Y20" s="39">
        <v>1.485</v>
      </c>
    </row>
    <row r="21" spans="1:25" ht="12.75">
      <c r="A21" s="6">
        <v>2019</v>
      </c>
      <c r="B21" s="53">
        <v>43634</v>
      </c>
      <c r="C21" s="37">
        <v>28.31</v>
      </c>
      <c r="D21" s="6">
        <v>1427</v>
      </c>
      <c r="E21" s="37">
        <v>11.6</v>
      </c>
      <c r="F21" s="6">
        <v>704</v>
      </c>
      <c r="G21" s="37">
        <v>19.68</v>
      </c>
      <c r="H21" s="37">
        <v>92.2</v>
      </c>
      <c r="I21" s="6">
        <v>705</v>
      </c>
      <c r="J21" s="6">
        <v>32.63</v>
      </c>
      <c r="K21" s="6">
        <v>1428</v>
      </c>
      <c r="L21" s="37">
        <v>63.59</v>
      </c>
      <c r="M21" s="6">
        <v>0</v>
      </c>
      <c r="N21" s="35">
        <v>0.775</v>
      </c>
      <c r="O21" s="39">
        <f>6.65*3.6</f>
        <v>23.94</v>
      </c>
      <c r="P21" s="6">
        <v>1242</v>
      </c>
      <c r="Q21" s="36">
        <v>21.86</v>
      </c>
      <c r="R21" s="37">
        <v>6.192</v>
      </c>
      <c r="S21" s="36">
        <v>534.1</v>
      </c>
      <c r="T21" s="6">
        <v>1339</v>
      </c>
      <c r="U21" s="6">
        <v>34.31</v>
      </c>
      <c r="V21" s="6">
        <v>1322</v>
      </c>
      <c r="W21" s="37">
        <v>-19.39</v>
      </c>
      <c r="X21" s="6">
        <v>704</v>
      </c>
      <c r="Y21" s="35">
        <v>1.683</v>
      </c>
    </row>
    <row r="22" spans="1:25" ht="12.75">
      <c r="A22" s="6">
        <v>2019</v>
      </c>
      <c r="B22" s="53">
        <v>43635</v>
      </c>
      <c r="C22" s="37">
        <v>29.37</v>
      </c>
      <c r="D22" s="6">
        <v>1449</v>
      </c>
      <c r="E22" s="6">
        <v>12.66</v>
      </c>
      <c r="F22" s="6">
        <v>645</v>
      </c>
      <c r="G22" s="6">
        <v>20.34</v>
      </c>
      <c r="H22" s="37">
        <v>92.5</v>
      </c>
      <c r="I22" s="6">
        <v>653</v>
      </c>
      <c r="J22" s="37">
        <v>30.84</v>
      </c>
      <c r="K22" s="6">
        <v>1449</v>
      </c>
      <c r="L22" s="37">
        <v>63.26</v>
      </c>
      <c r="M22" s="6">
        <v>0</v>
      </c>
      <c r="N22" s="39">
        <v>0.471</v>
      </c>
      <c r="O22" s="35">
        <f>4.55*3.6</f>
        <v>16.38</v>
      </c>
      <c r="P22" s="6">
        <v>1502</v>
      </c>
      <c r="Q22" s="36">
        <v>276.5</v>
      </c>
      <c r="R22" s="37">
        <v>5.374</v>
      </c>
      <c r="S22" s="36">
        <v>715</v>
      </c>
      <c r="T22" s="6">
        <v>1146</v>
      </c>
      <c r="U22" s="37">
        <v>34.15</v>
      </c>
      <c r="V22" s="6">
        <v>1345</v>
      </c>
      <c r="W22" s="6">
        <v>-18.46</v>
      </c>
      <c r="X22" s="6">
        <v>701</v>
      </c>
      <c r="Y22" s="35">
        <v>1.374</v>
      </c>
    </row>
    <row r="23" spans="1:25" ht="12.75">
      <c r="A23" s="6">
        <v>2019</v>
      </c>
      <c r="B23" s="53">
        <v>43636</v>
      </c>
      <c r="C23" s="6">
        <v>28.31</v>
      </c>
      <c r="D23" s="6">
        <v>1428</v>
      </c>
      <c r="E23" s="37">
        <v>13.06</v>
      </c>
      <c r="F23" s="6">
        <v>646</v>
      </c>
      <c r="G23" s="37">
        <v>20.24</v>
      </c>
      <c r="H23" s="37">
        <v>89.6</v>
      </c>
      <c r="I23" s="6">
        <v>650</v>
      </c>
      <c r="J23" s="37">
        <v>33.43</v>
      </c>
      <c r="K23" s="6">
        <v>1432</v>
      </c>
      <c r="L23" s="37">
        <v>63.17</v>
      </c>
      <c r="M23" s="6">
        <v>0</v>
      </c>
      <c r="N23" s="39">
        <v>0.728</v>
      </c>
      <c r="O23" s="39">
        <f>4.85*3.6</f>
        <v>17.46</v>
      </c>
      <c r="P23" s="6">
        <v>1447</v>
      </c>
      <c r="Q23" s="36">
        <v>140.4</v>
      </c>
      <c r="R23" s="37">
        <v>5.959</v>
      </c>
      <c r="S23" s="36">
        <v>440</v>
      </c>
      <c r="T23" s="6">
        <v>1218</v>
      </c>
      <c r="U23" s="37">
        <v>34.16</v>
      </c>
      <c r="V23" s="6">
        <v>1318</v>
      </c>
      <c r="W23" s="37">
        <v>-18.26</v>
      </c>
      <c r="X23" s="6">
        <v>704</v>
      </c>
      <c r="Y23" s="35">
        <v>1.68</v>
      </c>
    </row>
    <row r="24" spans="1:25" ht="12.75">
      <c r="A24" s="6">
        <v>2019</v>
      </c>
      <c r="B24" s="53">
        <v>43637</v>
      </c>
      <c r="C24" s="6">
        <v>27.52</v>
      </c>
      <c r="D24" s="6">
        <v>1425</v>
      </c>
      <c r="E24" s="6">
        <v>13.85</v>
      </c>
      <c r="F24" s="6">
        <v>619</v>
      </c>
      <c r="G24" s="37">
        <v>20</v>
      </c>
      <c r="H24" s="37">
        <v>92.9</v>
      </c>
      <c r="I24" s="6">
        <v>622</v>
      </c>
      <c r="J24" s="37">
        <v>31.58</v>
      </c>
      <c r="K24" s="6">
        <v>1346</v>
      </c>
      <c r="L24" s="37">
        <v>65.87</v>
      </c>
      <c r="M24" s="6">
        <v>0</v>
      </c>
      <c r="N24" s="35">
        <v>1.662</v>
      </c>
      <c r="O24" s="35">
        <f>6.875*3.6</f>
        <v>24.75</v>
      </c>
      <c r="P24" s="6">
        <v>1346</v>
      </c>
      <c r="Q24" s="36">
        <v>19.41</v>
      </c>
      <c r="R24" s="37">
        <v>5.689</v>
      </c>
      <c r="S24" s="36">
        <v>508.1</v>
      </c>
      <c r="T24" s="6">
        <v>1232</v>
      </c>
      <c r="U24" s="6">
        <v>28.35</v>
      </c>
      <c r="V24" s="6">
        <v>1213</v>
      </c>
      <c r="W24" s="37">
        <v>-15.2</v>
      </c>
      <c r="X24" s="6">
        <v>0</v>
      </c>
      <c r="Y24" s="35">
        <v>1.843</v>
      </c>
    </row>
    <row r="25" spans="1:25" ht="12.75">
      <c r="A25" s="6">
        <v>2019</v>
      </c>
      <c r="B25" s="53">
        <v>43638</v>
      </c>
      <c r="C25" s="6">
        <v>27.45</v>
      </c>
      <c r="D25" s="6">
        <v>1434</v>
      </c>
      <c r="E25" s="37">
        <v>13.59</v>
      </c>
      <c r="F25" s="6">
        <v>405</v>
      </c>
      <c r="G25" s="37">
        <v>19.55</v>
      </c>
      <c r="H25" s="37">
        <v>90.1</v>
      </c>
      <c r="I25" s="6">
        <v>428</v>
      </c>
      <c r="J25" s="37">
        <v>29.58</v>
      </c>
      <c r="K25" s="6">
        <v>1331</v>
      </c>
      <c r="L25" s="37">
        <v>64.69</v>
      </c>
      <c r="M25" s="6">
        <v>0</v>
      </c>
      <c r="N25" s="39">
        <v>0.821</v>
      </c>
      <c r="O25" s="39">
        <f>5.45*3.6</f>
        <v>19.62</v>
      </c>
      <c r="P25" s="6">
        <v>1042</v>
      </c>
      <c r="Q25" s="36">
        <v>24.31</v>
      </c>
      <c r="R25" s="37">
        <v>6.142</v>
      </c>
      <c r="S25" s="6">
        <v>528.8</v>
      </c>
      <c r="T25" s="6">
        <v>1307</v>
      </c>
      <c r="U25" s="6">
        <v>36.16</v>
      </c>
      <c r="V25" s="6">
        <v>1328</v>
      </c>
      <c r="W25" s="37">
        <v>-17.44</v>
      </c>
      <c r="X25" s="6">
        <v>502</v>
      </c>
      <c r="Y25" s="35">
        <v>1.524</v>
      </c>
    </row>
    <row r="26" spans="1:26" ht="12.75">
      <c r="A26" s="6">
        <v>2019</v>
      </c>
      <c r="B26" s="53">
        <v>43639</v>
      </c>
      <c r="C26" s="6">
        <v>26.79</v>
      </c>
      <c r="D26" s="6">
        <v>1412</v>
      </c>
      <c r="E26" s="6">
        <v>11.93</v>
      </c>
      <c r="F26" s="6">
        <v>705</v>
      </c>
      <c r="G26" s="37">
        <v>19.11</v>
      </c>
      <c r="H26" s="37">
        <v>90.1</v>
      </c>
      <c r="I26" s="6">
        <v>712</v>
      </c>
      <c r="J26" s="37">
        <v>35.02</v>
      </c>
      <c r="K26" s="6">
        <v>1412</v>
      </c>
      <c r="L26" s="37">
        <v>63.05</v>
      </c>
      <c r="M26" s="6">
        <v>0</v>
      </c>
      <c r="N26" s="39">
        <v>0.724</v>
      </c>
      <c r="O26" s="39">
        <f>5.075*3.6</f>
        <v>18.27</v>
      </c>
      <c r="P26" s="6">
        <v>1027</v>
      </c>
      <c r="Q26" s="36">
        <v>4.617</v>
      </c>
      <c r="R26" s="37">
        <v>6.047</v>
      </c>
      <c r="S26" s="36">
        <v>633.8</v>
      </c>
      <c r="T26" s="6">
        <v>1201</v>
      </c>
      <c r="U26" s="37">
        <v>31.97</v>
      </c>
      <c r="V26" s="6">
        <v>1232</v>
      </c>
      <c r="W26" s="37">
        <v>-19.84</v>
      </c>
      <c r="X26" s="6">
        <v>708</v>
      </c>
      <c r="Y26" s="35">
        <v>1.552</v>
      </c>
      <c r="Z26" s="32"/>
    </row>
    <row r="27" spans="1:25" ht="12.75">
      <c r="A27" s="6">
        <v>2019</v>
      </c>
      <c r="B27" s="53">
        <v>43640</v>
      </c>
      <c r="C27" s="6">
        <v>27.52</v>
      </c>
      <c r="D27" s="6">
        <v>1435</v>
      </c>
      <c r="E27" s="6">
        <v>11.28</v>
      </c>
      <c r="F27" s="6">
        <v>523</v>
      </c>
      <c r="G27" s="37">
        <v>18.66</v>
      </c>
      <c r="H27" s="37">
        <v>94.4</v>
      </c>
      <c r="I27" s="6">
        <v>532</v>
      </c>
      <c r="J27" s="37">
        <v>35.28</v>
      </c>
      <c r="K27" s="6">
        <v>1533</v>
      </c>
      <c r="L27" s="37">
        <v>67.04</v>
      </c>
      <c r="M27" s="6">
        <v>0</v>
      </c>
      <c r="N27" s="39">
        <v>0.678</v>
      </c>
      <c r="O27" s="39">
        <f>5.075*3.6</f>
        <v>18.27</v>
      </c>
      <c r="P27" s="6">
        <v>1249</v>
      </c>
      <c r="Q27" s="36">
        <v>314.8</v>
      </c>
      <c r="R27" s="37">
        <v>5.776</v>
      </c>
      <c r="S27" s="36">
        <v>605.4</v>
      </c>
      <c r="T27" s="6">
        <v>1250</v>
      </c>
      <c r="U27" s="37">
        <v>33.53</v>
      </c>
      <c r="V27" s="6">
        <v>1243</v>
      </c>
      <c r="W27" s="37">
        <v>-20.65</v>
      </c>
      <c r="X27" s="6">
        <v>616</v>
      </c>
      <c r="Y27" s="35">
        <v>1.511</v>
      </c>
    </row>
    <row r="28" spans="1:25" ht="12.75">
      <c r="A28" s="6">
        <v>2019</v>
      </c>
      <c r="B28" s="53">
        <v>43641</v>
      </c>
      <c r="C28" s="37">
        <v>29.37</v>
      </c>
      <c r="D28" s="6">
        <v>1508</v>
      </c>
      <c r="E28" s="37">
        <v>12</v>
      </c>
      <c r="F28" s="6">
        <v>701</v>
      </c>
      <c r="G28" s="37">
        <v>20.68</v>
      </c>
      <c r="H28" s="37">
        <v>92.9</v>
      </c>
      <c r="I28" s="6">
        <v>707</v>
      </c>
      <c r="J28" s="37">
        <v>30.18</v>
      </c>
      <c r="K28" s="6">
        <v>1319</v>
      </c>
      <c r="L28" s="37">
        <v>61.58</v>
      </c>
      <c r="M28" s="6">
        <v>0</v>
      </c>
      <c r="N28" s="39">
        <v>0.734</v>
      </c>
      <c r="O28" s="39">
        <f>7.1*3.6</f>
        <v>25.56</v>
      </c>
      <c r="P28" s="6">
        <v>1324</v>
      </c>
      <c r="Q28" s="36">
        <v>302.4</v>
      </c>
      <c r="R28" s="37">
        <v>5.39</v>
      </c>
      <c r="S28" s="36">
        <v>562.4</v>
      </c>
      <c r="T28" s="6">
        <v>1344</v>
      </c>
      <c r="U28" s="37">
        <v>35.21</v>
      </c>
      <c r="V28" s="6">
        <v>1257</v>
      </c>
      <c r="W28" s="37">
        <v>-18.58</v>
      </c>
      <c r="X28" s="6">
        <v>654</v>
      </c>
      <c r="Y28" s="39">
        <v>1.706</v>
      </c>
    </row>
    <row r="29" spans="1:25" ht="12.75">
      <c r="A29" s="6">
        <v>2019</v>
      </c>
      <c r="B29" s="53">
        <v>43642</v>
      </c>
      <c r="C29" s="37">
        <v>30.1</v>
      </c>
      <c r="D29" s="6">
        <v>1447</v>
      </c>
      <c r="E29" s="6">
        <v>15.78</v>
      </c>
      <c r="F29" s="6">
        <v>611</v>
      </c>
      <c r="G29" s="37">
        <v>22.73</v>
      </c>
      <c r="H29" s="37">
        <v>85.1</v>
      </c>
      <c r="I29" s="6">
        <v>618</v>
      </c>
      <c r="J29" s="37">
        <v>26.6</v>
      </c>
      <c r="K29" s="6">
        <v>1505</v>
      </c>
      <c r="L29" s="37">
        <v>53.75</v>
      </c>
      <c r="M29" s="6">
        <v>0</v>
      </c>
      <c r="N29" s="35">
        <v>1.355</v>
      </c>
      <c r="O29" s="39">
        <f>7.47*3.6</f>
        <v>26.892</v>
      </c>
      <c r="P29" s="6">
        <v>1311</v>
      </c>
      <c r="Q29" s="36">
        <v>298.3</v>
      </c>
      <c r="R29" s="37">
        <v>5.917</v>
      </c>
      <c r="S29" s="6">
        <v>530.3</v>
      </c>
      <c r="T29" s="6">
        <v>1121</v>
      </c>
      <c r="U29" s="37">
        <v>29.68</v>
      </c>
      <c r="V29" s="6">
        <v>1309</v>
      </c>
      <c r="W29" s="37">
        <v>-15.67</v>
      </c>
      <c r="X29" s="6">
        <v>648</v>
      </c>
      <c r="Y29" s="35">
        <v>2.326</v>
      </c>
    </row>
    <row r="30" spans="1:25" ht="12.75">
      <c r="A30" s="6">
        <v>2019</v>
      </c>
      <c r="B30" s="53">
        <v>43643</v>
      </c>
      <c r="C30" s="37">
        <v>27.72</v>
      </c>
      <c r="D30" s="6">
        <v>1251</v>
      </c>
      <c r="E30" s="37">
        <v>15.37</v>
      </c>
      <c r="F30" s="6">
        <v>459</v>
      </c>
      <c r="G30" s="6">
        <v>21.38</v>
      </c>
      <c r="H30" s="37">
        <v>87.2</v>
      </c>
      <c r="I30" s="6">
        <v>459</v>
      </c>
      <c r="J30" s="37">
        <v>42.18</v>
      </c>
      <c r="K30" s="6">
        <v>1250</v>
      </c>
      <c r="L30" s="37">
        <v>64.44</v>
      </c>
      <c r="M30" s="6">
        <v>0</v>
      </c>
      <c r="N30" s="35">
        <v>0.918</v>
      </c>
      <c r="O30" s="35">
        <f>5*3.6</f>
        <v>18</v>
      </c>
      <c r="P30" s="6">
        <v>921</v>
      </c>
      <c r="Q30" s="36">
        <v>107.1</v>
      </c>
      <c r="R30" s="37">
        <v>4.25</v>
      </c>
      <c r="S30" s="36">
        <v>644.5</v>
      </c>
      <c r="T30" s="6">
        <v>1241</v>
      </c>
      <c r="U30" s="6">
        <v>33.27</v>
      </c>
      <c r="V30" s="6">
        <v>1304</v>
      </c>
      <c r="W30" s="6">
        <v>-12.17</v>
      </c>
      <c r="X30" s="6">
        <v>428</v>
      </c>
      <c r="Y30" s="35">
        <v>1.228</v>
      </c>
    </row>
    <row r="31" spans="1:25" ht="12.75">
      <c r="A31" s="6">
        <v>2019</v>
      </c>
      <c r="B31" s="53">
        <v>43644</v>
      </c>
      <c r="C31" s="37">
        <v>30.1</v>
      </c>
      <c r="D31" s="6">
        <v>1510</v>
      </c>
      <c r="E31" s="6">
        <v>14.78</v>
      </c>
      <c r="F31" s="6">
        <v>609</v>
      </c>
      <c r="G31" s="37">
        <v>22.35</v>
      </c>
      <c r="H31" s="37">
        <v>88.9</v>
      </c>
      <c r="I31" s="6">
        <v>615</v>
      </c>
      <c r="J31" s="37">
        <v>33.1</v>
      </c>
      <c r="K31" s="6">
        <v>1418</v>
      </c>
      <c r="L31" s="37">
        <v>60.14</v>
      </c>
      <c r="M31" s="6">
        <v>0</v>
      </c>
      <c r="N31" s="35">
        <v>1.141</v>
      </c>
      <c r="O31" s="39">
        <f>5.525*3.6</f>
        <v>19.89</v>
      </c>
      <c r="P31" s="6">
        <v>1409</v>
      </c>
      <c r="Q31" s="36">
        <v>0.094</v>
      </c>
      <c r="R31" s="37">
        <v>5.943</v>
      </c>
      <c r="S31" s="36">
        <v>511.5</v>
      </c>
      <c r="T31" s="6">
        <v>1223</v>
      </c>
      <c r="U31" s="37">
        <v>34.3</v>
      </c>
      <c r="V31" s="6">
        <v>1307</v>
      </c>
      <c r="W31" s="6">
        <v>-15.27</v>
      </c>
      <c r="X31" s="6">
        <v>713</v>
      </c>
      <c r="Y31" s="35">
        <v>1.893</v>
      </c>
    </row>
    <row r="32" spans="1:25" ht="12.75">
      <c r="A32" s="6">
        <v>2019</v>
      </c>
      <c r="B32" s="53">
        <v>43645</v>
      </c>
      <c r="C32" s="37">
        <v>29.24</v>
      </c>
      <c r="D32" s="6">
        <v>1446</v>
      </c>
      <c r="E32" s="37">
        <v>14.32</v>
      </c>
      <c r="F32" s="6">
        <v>706</v>
      </c>
      <c r="G32" s="37">
        <v>21.16</v>
      </c>
      <c r="H32" s="37">
        <v>86.5</v>
      </c>
      <c r="I32" s="6">
        <v>416</v>
      </c>
      <c r="J32" s="37">
        <v>27.33</v>
      </c>
      <c r="K32" s="6">
        <v>1429</v>
      </c>
      <c r="L32" s="37">
        <v>60.67</v>
      </c>
      <c r="M32" s="6">
        <v>0</v>
      </c>
      <c r="N32" s="39">
        <v>1.028</v>
      </c>
      <c r="O32" s="35">
        <v>24.21</v>
      </c>
      <c r="P32" s="6">
        <v>1217</v>
      </c>
      <c r="Q32" s="36">
        <v>43.9</v>
      </c>
      <c r="R32" s="37">
        <v>6.141</v>
      </c>
      <c r="S32" s="36">
        <v>504.9</v>
      </c>
      <c r="T32" s="6">
        <v>1228</v>
      </c>
      <c r="U32" s="37">
        <v>31.1</v>
      </c>
      <c r="V32" s="6">
        <v>1345</v>
      </c>
      <c r="W32" s="37">
        <v>-18.6</v>
      </c>
      <c r="X32" s="6">
        <v>702</v>
      </c>
      <c r="Y32" s="35">
        <v>1.868</v>
      </c>
    </row>
    <row r="33" spans="1:25" ht="12.75">
      <c r="A33" s="6">
        <v>2019</v>
      </c>
      <c r="B33" s="53">
        <v>43646</v>
      </c>
      <c r="C33" s="37">
        <v>29.24</v>
      </c>
      <c r="D33" s="6">
        <v>1424</v>
      </c>
      <c r="E33" s="6">
        <v>13.19</v>
      </c>
      <c r="F33" s="6">
        <v>701</v>
      </c>
      <c r="G33" s="6">
        <v>21.13</v>
      </c>
      <c r="H33" s="37">
        <v>94.2</v>
      </c>
      <c r="I33" s="6">
        <v>710</v>
      </c>
      <c r="J33" s="37">
        <v>31.17</v>
      </c>
      <c r="K33" s="6">
        <v>1559</v>
      </c>
      <c r="L33" s="37">
        <v>62.37</v>
      </c>
      <c r="M33" s="6">
        <v>0</v>
      </c>
      <c r="N33" s="39">
        <v>0.92</v>
      </c>
      <c r="O33" s="35">
        <f>5.6*3.6</f>
        <v>20.16</v>
      </c>
      <c r="P33" s="6">
        <v>1242</v>
      </c>
      <c r="Q33" s="36">
        <v>8.76</v>
      </c>
      <c r="R33" s="37">
        <v>6.188</v>
      </c>
      <c r="S33" s="36">
        <v>536</v>
      </c>
      <c r="T33" s="6">
        <v>1242</v>
      </c>
      <c r="U33" s="37">
        <v>33.76</v>
      </c>
      <c r="V33" s="6">
        <v>1323</v>
      </c>
      <c r="W33" s="6">
        <v>-17.13</v>
      </c>
      <c r="X33" s="6">
        <v>701</v>
      </c>
      <c r="Y33" s="39">
        <v>1.815</v>
      </c>
    </row>
    <row r="34" spans="3:25" ht="12.75">
      <c r="C34" s="40">
        <f>AVERAGE(C4:C33)</f>
        <v>27.767</v>
      </c>
      <c r="D34" s="33"/>
      <c r="E34" s="40">
        <f>AVERAGE(E4:E33)</f>
        <v>13.023999999999997</v>
      </c>
      <c r="F34" s="33"/>
      <c r="G34" s="40">
        <f>AVERAGE(G4:G33)</f>
        <v>19.788666666666668</v>
      </c>
      <c r="H34" s="40">
        <f>AVERAGE(H4:H33)</f>
        <v>90.93333333333332</v>
      </c>
      <c r="I34" s="33"/>
      <c r="J34" s="40">
        <f>AVERAGE(J4:J33)</f>
        <v>33.82833333333333</v>
      </c>
      <c r="K34" s="33"/>
      <c r="L34" s="40">
        <f>AVERAGE(L4:L33)</f>
        <v>64.95700000000001</v>
      </c>
      <c r="M34" s="41">
        <f>SUM(M4:M33)</f>
        <v>12.8</v>
      </c>
      <c r="Y34" s="41">
        <f>SUM(Y4:Y33)</f>
        <v>46.81000000000001</v>
      </c>
    </row>
  </sheetData>
  <sheetProtection/>
  <mergeCells count="3">
    <mergeCell ref="A1:B1"/>
    <mergeCell ref="A2:A3"/>
    <mergeCell ref="B2:B3"/>
  </mergeCells>
  <printOptions horizontalCentered="1"/>
  <pageMargins left="0.3937007874015748" right="0.3937007874015748" top="0.7874015748031497" bottom="0.5905511811023623" header="0.5118110236220472" footer="0.5118110236220472"/>
  <pageSetup horizontalDpi="300" verticalDpi="300" orientation="landscape" paperSize="9" scale="68" r:id="rId1"/>
  <headerFooter alignWithMargins="0">
    <oddHeader>&amp;CDADOS METEOROLÓGICOS - ESTAÇÃO EXPERIMENTAL DE CITRICULTURA DE BEBEDOURO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Z35"/>
  <sheetViews>
    <sheetView view="pageBreakPreview" zoomScale="75" zoomScaleSheetLayoutView="75" zoomScalePageLayoutView="0" workbookViewId="0" topLeftCell="B2">
      <selection activeCell="X34" sqref="X34"/>
    </sheetView>
  </sheetViews>
  <sheetFormatPr defaultColWidth="9.140625" defaultRowHeight="12.75"/>
  <cols>
    <col min="1" max="1" width="7.140625" style="0" customWidth="1"/>
    <col min="2" max="2" width="8.28125" style="0" customWidth="1"/>
    <col min="3" max="3" width="9.7109375" style="0" customWidth="1"/>
    <col min="6" max="6" width="8.28125" style="0" customWidth="1"/>
    <col min="7" max="7" width="9.7109375" style="0" customWidth="1"/>
    <col min="9" max="9" width="7.28125" style="0" customWidth="1"/>
    <col min="11" max="11" width="7.140625" style="0" customWidth="1"/>
    <col min="13" max="13" width="7.28125" style="0" customWidth="1"/>
    <col min="16" max="16" width="7.7109375" style="0" customWidth="1"/>
    <col min="17" max="17" width="6.7109375" style="0" customWidth="1"/>
    <col min="18" max="18" width="8.00390625" style="0" customWidth="1"/>
    <col min="19" max="19" width="8.7109375" style="0" customWidth="1"/>
    <col min="20" max="20" width="8.00390625" style="0" customWidth="1"/>
    <col min="21" max="21" width="8.140625" style="0" customWidth="1"/>
    <col min="22" max="22" width="7.00390625" style="0" customWidth="1"/>
    <col min="23" max="23" width="7.7109375" style="0" customWidth="1"/>
    <col min="24" max="24" width="6.7109375" style="0" customWidth="1"/>
    <col min="25" max="25" width="7.28125" style="0" customWidth="1"/>
  </cols>
  <sheetData>
    <row r="1" spans="1:5" ht="12.75">
      <c r="A1" s="65">
        <v>39448</v>
      </c>
      <c r="B1" s="65"/>
      <c r="C1" s="8">
        <v>1</v>
      </c>
      <c r="E1">
        <v>3.6</v>
      </c>
    </row>
    <row r="2" spans="1:25" ht="33.75">
      <c r="A2" s="66" t="s">
        <v>12</v>
      </c>
      <c r="B2" s="66" t="s">
        <v>13</v>
      </c>
      <c r="C2" s="9" t="s">
        <v>14</v>
      </c>
      <c r="D2" s="9" t="s">
        <v>15</v>
      </c>
      <c r="E2" s="9" t="s">
        <v>16</v>
      </c>
      <c r="F2" s="9" t="s">
        <v>17</v>
      </c>
      <c r="G2" s="9" t="s">
        <v>18</v>
      </c>
      <c r="H2" s="9" t="s">
        <v>19</v>
      </c>
      <c r="I2" s="9" t="s">
        <v>15</v>
      </c>
      <c r="J2" s="9" t="s">
        <v>20</v>
      </c>
      <c r="K2" s="9" t="s">
        <v>17</v>
      </c>
      <c r="L2" s="9" t="s">
        <v>21</v>
      </c>
      <c r="M2" s="10" t="s">
        <v>22</v>
      </c>
      <c r="N2" s="9" t="s">
        <v>23</v>
      </c>
      <c r="O2" s="9" t="s">
        <v>24</v>
      </c>
      <c r="P2" s="9" t="s">
        <v>15</v>
      </c>
      <c r="Q2" s="9" t="s">
        <v>35</v>
      </c>
      <c r="R2" s="9" t="s">
        <v>44</v>
      </c>
      <c r="S2" s="9" t="s">
        <v>26</v>
      </c>
      <c r="T2" s="10" t="s">
        <v>15</v>
      </c>
      <c r="U2" s="9" t="s">
        <v>27</v>
      </c>
      <c r="V2" s="9" t="s">
        <v>15</v>
      </c>
      <c r="W2" s="9" t="s">
        <v>28</v>
      </c>
      <c r="X2" s="9" t="s">
        <v>17</v>
      </c>
      <c r="Y2" s="10" t="s">
        <v>29</v>
      </c>
    </row>
    <row r="3" spans="1:25" ht="12.75">
      <c r="A3" s="67"/>
      <c r="B3" s="67"/>
      <c r="C3" s="10" t="s">
        <v>30</v>
      </c>
      <c r="D3" s="10"/>
      <c r="E3" s="10" t="s">
        <v>30</v>
      </c>
      <c r="F3" s="10"/>
      <c r="G3" s="10" t="s">
        <v>30</v>
      </c>
      <c r="H3" s="10" t="s">
        <v>31</v>
      </c>
      <c r="I3" s="10"/>
      <c r="J3" s="10" t="s">
        <v>31</v>
      </c>
      <c r="K3" s="10"/>
      <c r="L3" s="10" t="s">
        <v>31</v>
      </c>
      <c r="M3" s="10" t="s">
        <v>32</v>
      </c>
      <c r="N3" s="10" t="s">
        <v>33</v>
      </c>
      <c r="O3" s="10" t="s">
        <v>42</v>
      </c>
      <c r="P3" s="10"/>
      <c r="Q3" s="10"/>
      <c r="R3" s="10" t="s">
        <v>43</v>
      </c>
      <c r="S3" s="10"/>
      <c r="T3" s="10"/>
      <c r="U3" s="10"/>
      <c r="V3" s="10"/>
      <c r="W3" s="10"/>
      <c r="X3" s="10"/>
      <c r="Y3" s="10" t="s">
        <v>32</v>
      </c>
    </row>
    <row r="4" spans="1:25" ht="12.75">
      <c r="A4" s="6">
        <v>2019</v>
      </c>
      <c r="B4" s="53">
        <v>43647</v>
      </c>
      <c r="C4" s="6">
        <v>30.03</v>
      </c>
      <c r="D4" s="6">
        <v>1440</v>
      </c>
      <c r="E4" s="6">
        <v>13.06</v>
      </c>
      <c r="F4" s="6">
        <v>627</v>
      </c>
      <c r="G4" s="37">
        <v>20.96</v>
      </c>
      <c r="H4" s="37">
        <v>92</v>
      </c>
      <c r="I4" s="6">
        <v>634</v>
      </c>
      <c r="J4" s="37">
        <v>24.67</v>
      </c>
      <c r="K4" s="6">
        <v>1449</v>
      </c>
      <c r="L4" s="37">
        <v>59.53</v>
      </c>
      <c r="M4" s="6">
        <v>0</v>
      </c>
      <c r="N4" s="35">
        <v>0.609</v>
      </c>
      <c r="O4" s="39">
        <f>5.975*3.6</f>
        <v>21.509999999999998</v>
      </c>
      <c r="P4" s="6">
        <v>1136</v>
      </c>
      <c r="Q4" s="36">
        <v>37.68</v>
      </c>
      <c r="R4" s="37">
        <v>6.126</v>
      </c>
      <c r="S4" s="36">
        <v>527.1</v>
      </c>
      <c r="T4" s="6">
        <v>1158</v>
      </c>
      <c r="U4" s="37">
        <v>35.92</v>
      </c>
      <c r="V4" s="6">
        <v>1303</v>
      </c>
      <c r="W4" s="37">
        <v>-18.73</v>
      </c>
      <c r="X4" s="6">
        <v>701</v>
      </c>
      <c r="Y4" s="35">
        <v>1.735</v>
      </c>
    </row>
    <row r="5" spans="1:25" ht="12.75">
      <c r="A5" s="6">
        <v>2019</v>
      </c>
      <c r="B5" s="53">
        <v>43648</v>
      </c>
      <c r="C5" s="37">
        <v>29.18</v>
      </c>
      <c r="D5" s="6">
        <v>1504</v>
      </c>
      <c r="E5" s="6">
        <v>12.33</v>
      </c>
      <c r="F5" s="6">
        <v>643</v>
      </c>
      <c r="G5" s="6">
        <v>20.64</v>
      </c>
      <c r="H5" s="37">
        <v>90</v>
      </c>
      <c r="I5" s="6">
        <v>328</v>
      </c>
      <c r="J5" s="37">
        <v>28.59</v>
      </c>
      <c r="K5" s="6">
        <v>1457</v>
      </c>
      <c r="L5" s="37">
        <v>57.36</v>
      </c>
      <c r="M5" s="6">
        <v>0</v>
      </c>
      <c r="N5" s="39">
        <v>0.727</v>
      </c>
      <c r="O5" s="35">
        <f>5.375*3.6</f>
        <v>19.35</v>
      </c>
      <c r="P5" s="6">
        <v>1352</v>
      </c>
      <c r="Q5" s="36">
        <v>307.4</v>
      </c>
      <c r="R5" s="37">
        <v>5.689</v>
      </c>
      <c r="S5" s="6">
        <v>521.9</v>
      </c>
      <c r="T5" s="6">
        <v>1124</v>
      </c>
      <c r="U5" s="37">
        <v>31.87</v>
      </c>
      <c r="V5" s="6">
        <v>1248</v>
      </c>
      <c r="W5" s="37">
        <v>-18.6</v>
      </c>
      <c r="X5" s="6">
        <v>524</v>
      </c>
      <c r="Y5" s="39">
        <v>1.777</v>
      </c>
    </row>
    <row r="6" spans="1:25" ht="12.75">
      <c r="A6" s="6">
        <v>2019</v>
      </c>
      <c r="B6" s="53">
        <v>43649</v>
      </c>
      <c r="C6" s="37">
        <v>29.91</v>
      </c>
      <c r="D6" s="6">
        <v>1352</v>
      </c>
      <c r="E6" s="37">
        <v>14.45</v>
      </c>
      <c r="F6" s="6">
        <v>230</v>
      </c>
      <c r="G6" s="37">
        <v>21.65</v>
      </c>
      <c r="H6" s="37">
        <v>82.1</v>
      </c>
      <c r="I6" s="6">
        <v>241</v>
      </c>
      <c r="J6" s="37">
        <v>28.85</v>
      </c>
      <c r="K6" s="6">
        <v>1413</v>
      </c>
      <c r="L6" s="37">
        <v>53.76</v>
      </c>
      <c r="M6" s="6">
        <v>0</v>
      </c>
      <c r="N6" s="35">
        <v>0.941</v>
      </c>
      <c r="O6" s="35">
        <f>6.575*3.6</f>
        <v>23.67</v>
      </c>
      <c r="P6" s="6">
        <v>1352</v>
      </c>
      <c r="Q6" s="36">
        <v>315</v>
      </c>
      <c r="R6" s="37">
        <v>5.745</v>
      </c>
      <c r="S6" s="36">
        <v>583.8</v>
      </c>
      <c r="T6" s="6">
        <v>1200</v>
      </c>
      <c r="U6" s="6">
        <v>34.09</v>
      </c>
      <c r="V6" s="6">
        <v>1323</v>
      </c>
      <c r="W6" s="37">
        <v>-16.35</v>
      </c>
      <c r="X6" s="6">
        <v>254</v>
      </c>
      <c r="Y6" s="35">
        <v>2.04</v>
      </c>
    </row>
    <row r="7" spans="1:25" ht="12.75">
      <c r="A7" s="6">
        <v>2019</v>
      </c>
      <c r="B7" s="53">
        <v>43650</v>
      </c>
      <c r="C7" s="37">
        <v>27.79</v>
      </c>
      <c r="D7" s="6">
        <v>1205</v>
      </c>
      <c r="E7" s="37">
        <v>15.7</v>
      </c>
      <c r="F7" s="6">
        <v>456</v>
      </c>
      <c r="G7" s="37">
        <v>19.36</v>
      </c>
      <c r="H7" s="37">
        <v>97.1</v>
      </c>
      <c r="I7" s="6">
        <v>2253</v>
      </c>
      <c r="J7" s="37">
        <v>37.48</v>
      </c>
      <c r="K7" s="6">
        <v>1205</v>
      </c>
      <c r="L7" s="37">
        <v>73.8</v>
      </c>
      <c r="M7" s="6">
        <v>5.7</v>
      </c>
      <c r="N7" s="35">
        <v>1.125</v>
      </c>
      <c r="O7" s="39">
        <f>8.37*3.6</f>
        <v>30.131999999999998</v>
      </c>
      <c r="P7" s="6">
        <v>1311</v>
      </c>
      <c r="Q7" s="36">
        <v>284.8</v>
      </c>
      <c r="R7" s="37">
        <v>3.743</v>
      </c>
      <c r="S7" s="36">
        <v>715</v>
      </c>
      <c r="T7" s="6">
        <v>1202</v>
      </c>
      <c r="U7" s="6">
        <v>25.68</v>
      </c>
      <c r="V7" s="6">
        <v>1227</v>
      </c>
      <c r="W7" s="37">
        <v>-13.98</v>
      </c>
      <c r="X7" s="6">
        <v>4</v>
      </c>
      <c r="Y7" s="35">
        <v>1.222</v>
      </c>
    </row>
    <row r="8" spans="1:25" ht="12.75">
      <c r="A8" s="6">
        <v>2019</v>
      </c>
      <c r="B8" s="53">
        <v>43651</v>
      </c>
      <c r="C8" s="37">
        <v>20.54</v>
      </c>
      <c r="D8" s="6">
        <v>1150</v>
      </c>
      <c r="E8" s="37">
        <v>14.78</v>
      </c>
      <c r="F8" s="6">
        <v>2143</v>
      </c>
      <c r="G8" s="37">
        <v>17.56</v>
      </c>
      <c r="H8" s="37">
        <v>98.4</v>
      </c>
      <c r="I8" s="6">
        <v>548</v>
      </c>
      <c r="J8" s="37">
        <v>73.1</v>
      </c>
      <c r="K8" s="6">
        <v>1629</v>
      </c>
      <c r="L8" s="37">
        <v>91.7</v>
      </c>
      <c r="M8" s="6">
        <v>7.7</v>
      </c>
      <c r="N8" s="35">
        <v>1.31</v>
      </c>
      <c r="O8" s="39">
        <f>5.6*3.6</f>
        <v>20.16</v>
      </c>
      <c r="P8" s="6">
        <v>1337</v>
      </c>
      <c r="Q8" s="36">
        <v>200.9</v>
      </c>
      <c r="R8" s="37">
        <v>2.111</v>
      </c>
      <c r="S8" s="6">
        <v>456.8</v>
      </c>
      <c r="T8" s="6">
        <v>1509</v>
      </c>
      <c r="U8" s="37">
        <v>12.58</v>
      </c>
      <c r="V8" s="6">
        <v>1202</v>
      </c>
      <c r="W8" s="37">
        <v>-15.31</v>
      </c>
      <c r="X8" s="6">
        <v>2154</v>
      </c>
      <c r="Y8" s="39">
        <v>0.443</v>
      </c>
    </row>
    <row r="9" spans="1:25" ht="12.75">
      <c r="A9" s="6">
        <v>2019</v>
      </c>
      <c r="B9" s="53">
        <v>43652</v>
      </c>
      <c r="C9" s="37">
        <v>17.6</v>
      </c>
      <c r="D9" s="6">
        <v>1449</v>
      </c>
      <c r="E9" s="37">
        <v>5.914</v>
      </c>
      <c r="F9" s="6">
        <v>2343</v>
      </c>
      <c r="G9" s="37">
        <v>11.51</v>
      </c>
      <c r="H9" s="37">
        <v>96.5</v>
      </c>
      <c r="I9" s="6">
        <v>110</v>
      </c>
      <c r="J9" s="6">
        <v>28.4</v>
      </c>
      <c r="K9" s="6">
        <v>1620</v>
      </c>
      <c r="L9" s="37">
        <v>61.88</v>
      </c>
      <c r="M9" s="6">
        <v>0</v>
      </c>
      <c r="N9" s="35">
        <v>1.417</v>
      </c>
      <c r="O9" s="39">
        <f>5.3*3.6</f>
        <v>19.08</v>
      </c>
      <c r="P9" s="6">
        <v>1635</v>
      </c>
      <c r="Q9" s="36">
        <v>182.6</v>
      </c>
      <c r="R9" s="37">
        <v>6.584</v>
      </c>
      <c r="S9" s="36">
        <v>534.1</v>
      </c>
      <c r="T9" s="6">
        <v>1142</v>
      </c>
      <c r="U9" s="37">
        <v>28.51</v>
      </c>
      <c r="V9" s="6">
        <v>1317</v>
      </c>
      <c r="W9" s="37">
        <v>-31.36</v>
      </c>
      <c r="X9" s="6">
        <v>2253</v>
      </c>
      <c r="Y9" s="39">
        <v>1.453</v>
      </c>
    </row>
    <row r="10" spans="1:25" ht="12.75">
      <c r="A10" s="6">
        <v>2019</v>
      </c>
      <c r="B10" s="53">
        <v>43653</v>
      </c>
      <c r="C10" s="37">
        <v>20.38</v>
      </c>
      <c r="D10" s="6">
        <v>1450</v>
      </c>
      <c r="E10" s="37">
        <v>2.14</v>
      </c>
      <c r="F10" s="6">
        <v>709</v>
      </c>
      <c r="G10" s="37">
        <v>10.62</v>
      </c>
      <c r="H10" s="37">
        <v>95.8</v>
      </c>
      <c r="I10" s="6">
        <v>715</v>
      </c>
      <c r="J10" s="37">
        <v>22.3</v>
      </c>
      <c r="K10" s="6">
        <v>1408</v>
      </c>
      <c r="L10" s="37">
        <v>62.41</v>
      </c>
      <c r="M10" s="6">
        <v>0</v>
      </c>
      <c r="N10" s="35">
        <v>1.373</v>
      </c>
      <c r="O10" s="39">
        <f>6.425*3.6</f>
        <v>23.13</v>
      </c>
      <c r="P10" s="6">
        <v>1024</v>
      </c>
      <c r="Q10" s="43">
        <v>122.6</v>
      </c>
      <c r="R10" s="37">
        <v>6.674</v>
      </c>
      <c r="S10" s="36">
        <v>482</v>
      </c>
      <c r="T10" s="6">
        <v>1154</v>
      </c>
      <c r="U10" s="37">
        <v>26.46</v>
      </c>
      <c r="V10" s="6">
        <v>1351</v>
      </c>
      <c r="W10" s="6">
        <v>-31.67</v>
      </c>
      <c r="X10" s="6">
        <v>614</v>
      </c>
      <c r="Y10" s="35">
        <v>1.663</v>
      </c>
    </row>
    <row r="11" spans="1:25" ht="12.75">
      <c r="A11" s="6">
        <v>2019</v>
      </c>
      <c r="B11" s="53">
        <v>43654</v>
      </c>
      <c r="C11" s="37">
        <v>25.26</v>
      </c>
      <c r="D11" s="6">
        <v>1547</v>
      </c>
      <c r="E11" s="37">
        <v>6.305</v>
      </c>
      <c r="F11" s="6">
        <v>704</v>
      </c>
      <c r="G11" s="37">
        <v>14.65</v>
      </c>
      <c r="H11" s="37">
        <v>87.6</v>
      </c>
      <c r="I11" s="6">
        <v>422</v>
      </c>
      <c r="J11" s="37">
        <v>24.94</v>
      </c>
      <c r="K11" s="6">
        <v>1547</v>
      </c>
      <c r="L11" s="37">
        <v>59.69</v>
      </c>
      <c r="M11" s="6">
        <v>0</v>
      </c>
      <c r="N11" s="35">
        <v>1.506</v>
      </c>
      <c r="O11" s="39">
        <f>5.375*3.6</f>
        <v>19.35</v>
      </c>
      <c r="P11" s="6">
        <v>1041</v>
      </c>
      <c r="Q11" s="36">
        <v>46.76</v>
      </c>
      <c r="R11" s="37">
        <v>6.489</v>
      </c>
      <c r="S11" s="36">
        <v>522.5</v>
      </c>
      <c r="T11" s="6">
        <v>1236</v>
      </c>
      <c r="U11" s="37">
        <v>37.11</v>
      </c>
      <c r="V11" s="6">
        <v>1314</v>
      </c>
      <c r="W11" s="37">
        <v>-23.1</v>
      </c>
      <c r="X11" s="6">
        <v>242</v>
      </c>
      <c r="Y11" s="35">
        <v>1.617</v>
      </c>
    </row>
    <row r="12" spans="1:25" ht="12.75">
      <c r="A12" s="6">
        <v>2019</v>
      </c>
      <c r="B12" s="53">
        <v>43655</v>
      </c>
      <c r="C12" s="37">
        <v>26.72</v>
      </c>
      <c r="D12" s="6">
        <v>1505</v>
      </c>
      <c r="E12" s="6">
        <v>9.75</v>
      </c>
      <c r="F12" s="6">
        <v>427</v>
      </c>
      <c r="G12" s="37">
        <v>17.24</v>
      </c>
      <c r="H12" s="37">
        <v>83</v>
      </c>
      <c r="I12" s="6">
        <v>432</v>
      </c>
      <c r="J12" s="37">
        <v>22.88</v>
      </c>
      <c r="K12" s="6">
        <v>1429</v>
      </c>
      <c r="L12" s="37">
        <v>53.62</v>
      </c>
      <c r="M12" s="38">
        <v>0</v>
      </c>
      <c r="N12" s="35">
        <v>1.022</v>
      </c>
      <c r="O12" s="39">
        <f>4.325*3.6</f>
        <v>15.57</v>
      </c>
      <c r="P12" s="6">
        <v>9</v>
      </c>
      <c r="Q12" s="36">
        <v>111</v>
      </c>
      <c r="R12" s="37">
        <v>6.483</v>
      </c>
      <c r="S12" s="36">
        <v>488.9</v>
      </c>
      <c r="T12" s="6">
        <v>1128</v>
      </c>
      <c r="U12" s="6">
        <v>41.65</v>
      </c>
      <c r="V12" s="6">
        <v>1327</v>
      </c>
      <c r="W12" s="37">
        <v>-20.4</v>
      </c>
      <c r="X12" s="6">
        <v>439</v>
      </c>
      <c r="Y12" s="35">
        <v>1.659</v>
      </c>
    </row>
    <row r="13" spans="1:25" ht="12.75">
      <c r="A13" s="6">
        <v>2019</v>
      </c>
      <c r="B13" s="53">
        <v>43656</v>
      </c>
      <c r="C13" s="37">
        <v>26.72</v>
      </c>
      <c r="D13" s="6">
        <v>1501</v>
      </c>
      <c r="E13" s="37">
        <v>9.29</v>
      </c>
      <c r="F13" s="6">
        <v>559</v>
      </c>
      <c r="G13" s="37">
        <v>17.41</v>
      </c>
      <c r="H13" s="37">
        <v>84.2</v>
      </c>
      <c r="I13" s="6">
        <v>602</v>
      </c>
      <c r="J13" s="37">
        <v>25.2</v>
      </c>
      <c r="K13" s="6">
        <v>1405</v>
      </c>
      <c r="L13" s="37">
        <v>55.94</v>
      </c>
      <c r="M13" s="6">
        <v>0</v>
      </c>
      <c r="N13" s="39">
        <v>0.664</v>
      </c>
      <c r="O13" s="39">
        <f>4.625*3.6</f>
        <v>16.650000000000002</v>
      </c>
      <c r="P13" s="6">
        <v>1104</v>
      </c>
      <c r="Q13" s="36">
        <v>62.76</v>
      </c>
      <c r="R13" s="37">
        <v>6.524</v>
      </c>
      <c r="S13" s="36">
        <v>534.4</v>
      </c>
      <c r="T13" s="6">
        <v>1200</v>
      </c>
      <c r="U13" s="6">
        <v>40.51</v>
      </c>
      <c r="V13" s="6">
        <v>1328</v>
      </c>
      <c r="W13" s="37">
        <v>-22.36</v>
      </c>
      <c r="X13" s="6">
        <v>701</v>
      </c>
      <c r="Y13" s="35">
        <v>1.568</v>
      </c>
    </row>
    <row r="14" spans="1:26" ht="12.75">
      <c r="A14" s="6">
        <v>2019</v>
      </c>
      <c r="B14" s="53">
        <v>43657</v>
      </c>
      <c r="C14" s="37">
        <v>26.52</v>
      </c>
      <c r="D14" s="6">
        <v>1640</v>
      </c>
      <c r="E14" s="6">
        <v>8.96</v>
      </c>
      <c r="F14" s="6">
        <v>653</v>
      </c>
      <c r="G14" s="6">
        <v>17.51</v>
      </c>
      <c r="H14" s="37">
        <v>89</v>
      </c>
      <c r="I14" s="6">
        <v>659</v>
      </c>
      <c r="J14" s="37">
        <v>27.19</v>
      </c>
      <c r="K14" s="6">
        <v>1505</v>
      </c>
      <c r="L14" s="37">
        <v>56.04</v>
      </c>
      <c r="M14" s="6">
        <v>0</v>
      </c>
      <c r="N14" s="35">
        <v>0.492</v>
      </c>
      <c r="O14" s="35">
        <f>5.45*3.6</f>
        <v>19.62</v>
      </c>
      <c r="P14" s="6">
        <v>1300</v>
      </c>
      <c r="Q14" s="36">
        <v>241.4</v>
      </c>
      <c r="R14" s="37">
        <v>6.599</v>
      </c>
      <c r="S14" s="36">
        <v>551.6</v>
      </c>
      <c r="T14" s="6">
        <v>1238</v>
      </c>
      <c r="U14" s="37">
        <v>42.05</v>
      </c>
      <c r="V14" s="6">
        <v>1306</v>
      </c>
      <c r="W14" s="37">
        <v>-22.63</v>
      </c>
      <c r="X14" s="6">
        <v>701</v>
      </c>
      <c r="Y14" s="35">
        <v>1.525</v>
      </c>
      <c r="Z14" s="13"/>
    </row>
    <row r="15" spans="1:25" ht="12.75">
      <c r="A15" s="6">
        <v>2019</v>
      </c>
      <c r="B15" s="53">
        <v>43658</v>
      </c>
      <c r="C15" s="6">
        <v>29.11</v>
      </c>
      <c r="D15" s="6">
        <v>1454</v>
      </c>
      <c r="E15" s="6">
        <v>10.02</v>
      </c>
      <c r="F15" s="6">
        <v>531</v>
      </c>
      <c r="G15" s="37">
        <v>18.79</v>
      </c>
      <c r="H15" s="37">
        <v>83.2</v>
      </c>
      <c r="I15" s="6">
        <v>532</v>
      </c>
      <c r="J15" s="37">
        <v>24.94</v>
      </c>
      <c r="K15" s="6">
        <v>1442</v>
      </c>
      <c r="L15" s="37">
        <v>54.13</v>
      </c>
      <c r="M15" s="6">
        <v>0</v>
      </c>
      <c r="N15" s="35">
        <v>0.751</v>
      </c>
      <c r="O15" s="35">
        <f>4.475*3.6</f>
        <v>16.11</v>
      </c>
      <c r="P15" s="6">
        <v>1043</v>
      </c>
      <c r="Q15" s="36">
        <v>346.7</v>
      </c>
      <c r="R15" s="37">
        <v>6.597</v>
      </c>
      <c r="S15" s="36">
        <v>533.1</v>
      </c>
      <c r="T15" s="6">
        <v>1213</v>
      </c>
      <c r="U15" s="37">
        <v>43.02</v>
      </c>
      <c r="V15" s="6">
        <v>1327</v>
      </c>
      <c r="W15" s="37">
        <v>-21.5</v>
      </c>
      <c r="X15" s="6">
        <v>617</v>
      </c>
      <c r="Y15" s="35">
        <v>1.79</v>
      </c>
    </row>
    <row r="16" spans="1:25" ht="12.75">
      <c r="A16" s="6">
        <v>2019</v>
      </c>
      <c r="B16" s="53">
        <v>43659</v>
      </c>
      <c r="C16" s="37">
        <v>30.29</v>
      </c>
      <c r="D16" s="6">
        <v>1441</v>
      </c>
      <c r="E16" s="37">
        <v>11.67</v>
      </c>
      <c r="F16" s="6">
        <v>555</v>
      </c>
      <c r="G16" s="37">
        <v>20.78</v>
      </c>
      <c r="H16" s="37">
        <v>82.8</v>
      </c>
      <c r="I16" s="6">
        <v>558</v>
      </c>
      <c r="J16" s="37">
        <v>26.53</v>
      </c>
      <c r="K16" s="6">
        <v>1441</v>
      </c>
      <c r="L16" s="37">
        <v>52.59</v>
      </c>
      <c r="M16" s="6">
        <v>0</v>
      </c>
      <c r="N16" s="35">
        <v>0.623</v>
      </c>
      <c r="O16" s="35">
        <f>4.1*3.6</f>
        <v>14.76</v>
      </c>
      <c r="P16" s="6">
        <v>1344</v>
      </c>
      <c r="Q16" s="36">
        <v>245.6</v>
      </c>
      <c r="R16" s="37">
        <v>6.329</v>
      </c>
      <c r="S16" s="6">
        <v>504.7</v>
      </c>
      <c r="T16" s="6">
        <v>1255</v>
      </c>
      <c r="U16" s="37">
        <v>44.28</v>
      </c>
      <c r="V16" s="6">
        <v>1315</v>
      </c>
      <c r="W16" s="37">
        <v>-18.32</v>
      </c>
      <c r="X16" s="6">
        <v>647</v>
      </c>
      <c r="Y16" s="35">
        <v>1.673</v>
      </c>
    </row>
    <row r="17" spans="1:25" ht="12.75">
      <c r="A17" s="6">
        <v>2019</v>
      </c>
      <c r="B17" s="53">
        <v>43660</v>
      </c>
      <c r="C17" s="6">
        <v>30.82</v>
      </c>
      <c r="D17" s="6">
        <v>1426</v>
      </c>
      <c r="E17" s="37">
        <v>13.98</v>
      </c>
      <c r="F17" s="6">
        <v>522</v>
      </c>
      <c r="G17" s="6">
        <v>21.83</v>
      </c>
      <c r="H17" s="37">
        <v>77.8</v>
      </c>
      <c r="I17" s="6">
        <v>521</v>
      </c>
      <c r="J17" s="37">
        <v>22.41</v>
      </c>
      <c r="K17" s="6">
        <v>1549</v>
      </c>
      <c r="L17" s="37">
        <v>48.51</v>
      </c>
      <c r="M17" s="6">
        <v>0</v>
      </c>
      <c r="N17" s="35">
        <v>0.641</v>
      </c>
      <c r="O17" s="35">
        <f>4.475*3.6</f>
        <v>16.11</v>
      </c>
      <c r="P17" s="6">
        <v>1135</v>
      </c>
      <c r="Q17" s="36">
        <v>50.4</v>
      </c>
      <c r="R17" s="37">
        <v>6.387</v>
      </c>
      <c r="S17" s="36">
        <v>491</v>
      </c>
      <c r="T17" s="6">
        <v>1337</v>
      </c>
      <c r="U17" s="37">
        <v>42.8</v>
      </c>
      <c r="V17" s="6">
        <v>1310</v>
      </c>
      <c r="W17" s="37">
        <v>-16.65</v>
      </c>
      <c r="X17" s="6">
        <v>541</v>
      </c>
      <c r="Y17" s="35">
        <v>1.846</v>
      </c>
    </row>
    <row r="18" spans="1:25" ht="12.75">
      <c r="A18" s="6">
        <v>2019</v>
      </c>
      <c r="B18" s="53">
        <v>43661</v>
      </c>
      <c r="C18" s="6">
        <v>30.96</v>
      </c>
      <c r="D18" s="6">
        <v>1433</v>
      </c>
      <c r="E18" s="6">
        <v>15.89</v>
      </c>
      <c r="F18" s="6">
        <v>721</v>
      </c>
      <c r="G18" s="37">
        <v>22.98</v>
      </c>
      <c r="H18" s="37">
        <v>74.5</v>
      </c>
      <c r="I18" s="6">
        <v>2351</v>
      </c>
      <c r="J18" s="6">
        <v>23.48</v>
      </c>
      <c r="K18" s="6">
        <v>1420</v>
      </c>
      <c r="L18" s="37">
        <v>48.49</v>
      </c>
      <c r="M18" s="6">
        <v>0</v>
      </c>
      <c r="N18" s="35">
        <v>1.41</v>
      </c>
      <c r="O18" s="35">
        <f>6.5*3.6</f>
        <v>23.400000000000002</v>
      </c>
      <c r="P18" s="6">
        <v>2345</v>
      </c>
      <c r="Q18" s="36">
        <v>156.1</v>
      </c>
      <c r="R18" s="6">
        <v>5.825</v>
      </c>
      <c r="S18" s="6">
        <v>547.6</v>
      </c>
      <c r="T18" s="6">
        <v>1145</v>
      </c>
      <c r="U18" s="37">
        <v>37.6</v>
      </c>
      <c r="V18" s="6">
        <v>1239</v>
      </c>
      <c r="W18" s="37">
        <v>-11.22</v>
      </c>
      <c r="X18" s="6">
        <v>726</v>
      </c>
      <c r="Y18" s="35">
        <v>1.967</v>
      </c>
    </row>
    <row r="19" spans="1:25" ht="12.75">
      <c r="A19" s="6">
        <v>2019</v>
      </c>
      <c r="B19" s="53">
        <v>43662</v>
      </c>
      <c r="C19" s="6">
        <v>26.06</v>
      </c>
      <c r="D19" s="6">
        <v>1447</v>
      </c>
      <c r="E19" s="37">
        <v>13.59</v>
      </c>
      <c r="F19" s="6">
        <v>2356</v>
      </c>
      <c r="G19" s="37">
        <v>19.45</v>
      </c>
      <c r="H19" s="37">
        <v>92.2</v>
      </c>
      <c r="I19" s="6">
        <v>727</v>
      </c>
      <c r="J19" s="6">
        <v>40.19</v>
      </c>
      <c r="K19" s="6">
        <v>1438</v>
      </c>
      <c r="L19" s="37">
        <v>67.8</v>
      </c>
      <c r="M19" s="38">
        <v>0</v>
      </c>
      <c r="N19" s="35">
        <v>1.678</v>
      </c>
      <c r="O19" s="35">
        <f>8.07*3.6</f>
        <v>29.052000000000003</v>
      </c>
      <c r="P19" s="6">
        <v>57</v>
      </c>
      <c r="Q19" s="36">
        <v>185</v>
      </c>
      <c r="R19" s="37">
        <v>6.018</v>
      </c>
      <c r="S19" s="36">
        <v>561.5</v>
      </c>
      <c r="T19" s="6">
        <v>1258</v>
      </c>
      <c r="U19" s="37">
        <v>33.92</v>
      </c>
      <c r="V19" s="6">
        <v>1243</v>
      </c>
      <c r="W19" s="37">
        <v>-16.14</v>
      </c>
      <c r="X19" s="6">
        <v>2358</v>
      </c>
      <c r="Y19" s="35">
        <v>1.635</v>
      </c>
    </row>
    <row r="20" spans="1:25" ht="12.75">
      <c r="A20" s="6">
        <v>2019</v>
      </c>
      <c r="B20" s="53">
        <v>43663</v>
      </c>
      <c r="C20" s="37">
        <v>22.96</v>
      </c>
      <c r="D20" s="6">
        <v>1522</v>
      </c>
      <c r="E20" s="37">
        <v>7.1</v>
      </c>
      <c r="F20" s="6">
        <v>645</v>
      </c>
      <c r="G20" s="6">
        <v>14.43</v>
      </c>
      <c r="H20" s="37">
        <v>92.2</v>
      </c>
      <c r="I20" s="6">
        <v>200</v>
      </c>
      <c r="J20" s="37">
        <v>27.87</v>
      </c>
      <c r="K20" s="6">
        <v>1512</v>
      </c>
      <c r="L20" s="37">
        <v>59.13</v>
      </c>
      <c r="M20" s="6">
        <v>0</v>
      </c>
      <c r="N20" s="35">
        <v>2.33</v>
      </c>
      <c r="O20" s="39">
        <f>6.65*3.6</f>
        <v>23.94</v>
      </c>
      <c r="P20" s="6">
        <v>825</v>
      </c>
      <c r="Q20" s="36">
        <v>112.4</v>
      </c>
      <c r="R20" s="6">
        <v>7.03</v>
      </c>
      <c r="S20" s="36">
        <v>516.6</v>
      </c>
      <c r="T20" s="6">
        <v>1203</v>
      </c>
      <c r="U20" s="37">
        <v>31.06</v>
      </c>
      <c r="V20" s="6">
        <v>1336</v>
      </c>
      <c r="W20" s="37">
        <v>-23.49</v>
      </c>
      <c r="X20" s="6">
        <v>708</v>
      </c>
      <c r="Y20" s="35">
        <v>1.824</v>
      </c>
    </row>
    <row r="21" spans="1:25" ht="12.75">
      <c r="A21" s="6">
        <v>2019</v>
      </c>
      <c r="B21" s="53">
        <v>43664</v>
      </c>
      <c r="C21" s="37">
        <v>26.66</v>
      </c>
      <c r="D21" s="6">
        <v>1530</v>
      </c>
      <c r="E21" s="37">
        <v>8.69</v>
      </c>
      <c r="F21" s="6">
        <v>505</v>
      </c>
      <c r="G21" s="37">
        <v>16.54</v>
      </c>
      <c r="H21" s="37">
        <v>87.1</v>
      </c>
      <c r="I21" s="6">
        <v>503</v>
      </c>
      <c r="J21" s="37">
        <v>30.31</v>
      </c>
      <c r="K21" s="6">
        <v>1510</v>
      </c>
      <c r="L21" s="37">
        <v>61.46</v>
      </c>
      <c r="M21" s="6">
        <v>0</v>
      </c>
      <c r="N21" s="39">
        <v>1.534</v>
      </c>
      <c r="O21" s="35">
        <f>4.85*3.6</f>
        <v>17.46</v>
      </c>
      <c r="P21" s="6">
        <v>1231</v>
      </c>
      <c r="Q21" s="36">
        <v>67.28</v>
      </c>
      <c r="R21" s="37">
        <v>6.226</v>
      </c>
      <c r="S21" s="36">
        <v>532.5</v>
      </c>
      <c r="T21" s="6">
        <v>1257</v>
      </c>
      <c r="U21" s="37">
        <v>35.71</v>
      </c>
      <c r="V21" s="6">
        <v>1312</v>
      </c>
      <c r="W21" s="37">
        <v>-21.14</v>
      </c>
      <c r="X21" s="6">
        <v>221</v>
      </c>
      <c r="Y21" s="35">
        <v>1.615</v>
      </c>
    </row>
    <row r="22" spans="1:25" ht="12.75">
      <c r="A22" s="6">
        <v>2019</v>
      </c>
      <c r="B22" s="53">
        <v>43665</v>
      </c>
      <c r="C22" s="37">
        <v>26.66</v>
      </c>
      <c r="D22" s="6">
        <v>1518</v>
      </c>
      <c r="E22" s="6">
        <v>11.79</v>
      </c>
      <c r="F22" s="6">
        <v>714</v>
      </c>
      <c r="G22" s="37">
        <v>18.3</v>
      </c>
      <c r="H22" s="37">
        <v>78.8</v>
      </c>
      <c r="I22" s="6">
        <v>710</v>
      </c>
      <c r="J22" s="37">
        <v>31.5</v>
      </c>
      <c r="K22" s="6">
        <v>1516</v>
      </c>
      <c r="L22" s="37">
        <v>56.29</v>
      </c>
      <c r="M22" s="6">
        <v>0</v>
      </c>
      <c r="N22" s="35">
        <v>1.908</v>
      </c>
      <c r="O22" s="39">
        <f>6.35*3.6</f>
        <v>22.86</v>
      </c>
      <c r="P22" s="6">
        <v>1340</v>
      </c>
      <c r="Q22" s="36">
        <v>5.84</v>
      </c>
      <c r="R22" s="37">
        <v>6.613</v>
      </c>
      <c r="S22" s="36">
        <v>649.5</v>
      </c>
      <c r="T22" s="6">
        <v>1207</v>
      </c>
      <c r="U22" s="37">
        <v>35.23</v>
      </c>
      <c r="V22" s="6">
        <v>1339</v>
      </c>
      <c r="W22" s="37">
        <v>-16.12</v>
      </c>
      <c r="X22" s="6">
        <v>709</v>
      </c>
      <c r="Y22" s="35">
        <v>2.011</v>
      </c>
    </row>
    <row r="23" spans="1:25" ht="12.75">
      <c r="A23" s="6">
        <v>2019</v>
      </c>
      <c r="B23" s="53">
        <v>43666</v>
      </c>
      <c r="C23" s="6">
        <v>26.39</v>
      </c>
      <c r="D23" s="6">
        <v>1523</v>
      </c>
      <c r="E23" s="37">
        <v>10.41</v>
      </c>
      <c r="F23" s="6">
        <v>628</v>
      </c>
      <c r="G23" s="6">
        <v>18.09</v>
      </c>
      <c r="H23" s="37">
        <v>81</v>
      </c>
      <c r="I23" s="6">
        <v>629</v>
      </c>
      <c r="J23" s="37">
        <v>26.8</v>
      </c>
      <c r="K23" s="6">
        <v>1406</v>
      </c>
      <c r="L23" s="37">
        <v>55.45</v>
      </c>
      <c r="M23" s="6">
        <v>0</v>
      </c>
      <c r="N23" s="35">
        <v>1.361</v>
      </c>
      <c r="O23" s="39">
        <f>6.725*3.6</f>
        <v>24.21</v>
      </c>
      <c r="P23" s="6">
        <v>1125</v>
      </c>
      <c r="Q23" s="36">
        <v>6.879</v>
      </c>
      <c r="R23" s="37">
        <v>6.938</v>
      </c>
      <c r="S23" s="36">
        <v>519.1</v>
      </c>
      <c r="T23" s="6">
        <v>1212</v>
      </c>
      <c r="U23" s="37">
        <v>35.64</v>
      </c>
      <c r="V23" s="6">
        <v>1348</v>
      </c>
      <c r="W23" s="37">
        <v>-20.49</v>
      </c>
      <c r="X23" s="6">
        <v>652</v>
      </c>
      <c r="Y23" s="35">
        <v>1.991</v>
      </c>
    </row>
    <row r="24" spans="1:25" ht="12.75">
      <c r="A24" s="6">
        <v>2019</v>
      </c>
      <c r="B24" s="53">
        <v>43667</v>
      </c>
      <c r="C24" s="37">
        <v>26.01</v>
      </c>
      <c r="D24" s="6">
        <v>1339</v>
      </c>
      <c r="E24" s="37">
        <v>11.8</v>
      </c>
      <c r="F24" s="6">
        <v>247</v>
      </c>
      <c r="G24" s="37">
        <v>18.5</v>
      </c>
      <c r="H24" s="37">
        <v>80.1</v>
      </c>
      <c r="I24" s="6">
        <v>247</v>
      </c>
      <c r="J24" s="6">
        <v>37.55</v>
      </c>
      <c r="K24" s="6">
        <v>1340</v>
      </c>
      <c r="L24" s="37">
        <v>59.62</v>
      </c>
      <c r="M24" s="6">
        <v>0</v>
      </c>
      <c r="N24" s="35">
        <v>1.454</v>
      </c>
      <c r="O24" s="35">
        <f>7.1*3.6</f>
        <v>25.56</v>
      </c>
      <c r="P24" s="6">
        <v>1210</v>
      </c>
      <c r="Q24" s="36">
        <v>7.73</v>
      </c>
      <c r="R24" s="37">
        <v>5.88</v>
      </c>
      <c r="S24" s="36">
        <v>606.6</v>
      </c>
      <c r="T24" s="6">
        <v>1201</v>
      </c>
      <c r="U24" s="37">
        <v>30.73</v>
      </c>
      <c r="V24" s="6">
        <v>1250</v>
      </c>
      <c r="W24" s="37">
        <v>-18.26</v>
      </c>
      <c r="X24" s="6">
        <v>315</v>
      </c>
      <c r="Y24" s="35">
        <v>1.836</v>
      </c>
    </row>
    <row r="25" spans="1:25" ht="12.75">
      <c r="A25" s="6">
        <v>2019</v>
      </c>
      <c r="B25" s="53">
        <v>43668</v>
      </c>
      <c r="C25" s="37">
        <v>27.92</v>
      </c>
      <c r="D25" s="6">
        <v>1451</v>
      </c>
      <c r="E25" s="37">
        <v>13.85</v>
      </c>
      <c r="F25" s="6">
        <v>631</v>
      </c>
      <c r="G25" s="6">
        <v>20.36</v>
      </c>
      <c r="H25" s="37">
        <v>82.9</v>
      </c>
      <c r="I25" s="6">
        <v>627</v>
      </c>
      <c r="J25" s="6">
        <v>31.84</v>
      </c>
      <c r="K25" s="6">
        <v>1539</v>
      </c>
      <c r="L25" s="37">
        <v>57.58</v>
      </c>
      <c r="M25" s="6">
        <v>0</v>
      </c>
      <c r="N25" s="35">
        <v>1.522</v>
      </c>
      <c r="O25" s="39">
        <f>6.95*3.6</f>
        <v>25.02</v>
      </c>
      <c r="P25" s="6">
        <v>1226</v>
      </c>
      <c r="Q25" s="36">
        <v>33.25</v>
      </c>
      <c r="R25" s="37">
        <v>6.395</v>
      </c>
      <c r="S25" s="36">
        <v>660.8</v>
      </c>
      <c r="T25" s="6">
        <v>1128</v>
      </c>
      <c r="U25" s="6">
        <v>33.24</v>
      </c>
      <c r="V25" s="6">
        <v>1357</v>
      </c>
      <c r="W25" s="37">
        <v>-13.5</v>
      </c>
      <c r="X25" s="6">
        <v>707</v>
      </c>
      <c r="Y25" s="35">
        <v>2.113</v>
      </c>
    </row>
    <row r="26" spans="1:26" ht="12.75">
      <c r="A26" s="6">
        <v>2019</v>
      </c>
      <c r="B26" s="53">
        <v>43669</v>
      </c>
      <c r="C26" s="6">
        <v>27.45</v>
      </c>
      <c r="D26" s="51" t="s">
        <v>47</v>
      </c>
      <c r="E26" s="37">
        <v>12.07</v>
      </c>
      <c r="F26" s="6">
        <v>653</v>
      </c>
      <c r="G26" s="37">
        <v>19.71</v>
      </c>
      <c r="H26" s="37">
        <v>87.1</v>
      </c>
      <c r="I26" s="6">
        <v>655</v>
      </c>
      <c r="J26" s="37">
        <v>32.5</v>
      </c>
      <c r="K26" s="6">
        <v>1435</v>
      </c>
      <c r="L26" s="37">
        <v>60.3</v>
      </c>
      <c r="M26" s="38">
        <v>0</v>
      </c>
      <c r="N26" s="39">
        <v>0.874</v>
      </c>
      <c r="O26" s="39">
        <f>6.35*3.6</f>
        <v>22.86</v>
      </c>
      <c r="P26" s="6">
        <v>1137</v>
      </c>
      <c r="Q26" s="36">
        <v>15.17</v>
      </c>
      <c r="R26" s="37">
        <v>6.898</v>
      </c>
      <c r="S26" s="36">
        <v>563.1</v>
      </c>
      <c r="T26" s="6">
        <v>1147</v>
      </c>
      <c r="U26" s="37">
        <v>39.64</v>
      </c>
      <c r="V26" s="6">
        <v>1329</v>
      </c>
      <c r="W26" s="6">
        <v>-18.54</v>
      </c>
      <c r="X26" s="6">
        <v>659</v>
      </c>
      <c r="Y26" s="35">
        <v>1.942</v>
      </c>
      <c r="Z26" s="32"/>
    </row>
    <row r="27" spans="1:25" ht="12.75">
      <c r="A27" s="6">
        <v>2019</v>
      </c>
      <c r="B27" s="53">
        <v>43670</v>
      </c>
      <c r="C27" s="37">
        <v>29.37</v>
      </c>
      <c r="D27" s="6">
        <v>1450</v>
      </c>
      <c r="E27" s="37">
        <v>12.4</v>
      </c>
      <c r="F27" s="6">
        <v>652</v>
      </c>
      <c r="G27" s="37">
        <v>21.23</v>
      </c>
      <c r="H27" s="37">
        <v>89.2</v>
      </c>
      <c r="I27" s="6">
        <v>655</v>
      </c>
      <c r="J27" s="37">
        <v>30.9</v>
      </c>
      <c r="K27" s="6">
        <v>1501</v>
      </c>
      <c r="L27" s="37">
        <v>57.11</v>
      </c>
      <c r="M27" s="6">
        <v>0</v>
      </c>
      <c r="N27" s="35">
        <v>0.913</v>
      </c>
      <c r="O27" s="39">
        <f>6.2*3.6</f>
        <v>22.32</v>
      </c>
      <c r="P27" s="6">
        <v>1357</v>
      </c>
      <c r="Q27" s="36">
        <v>37.77</v>
      </c>
      <c r="R27" s="37">
        <v>6.798</v>
      </c>
      <c r="S27" s="36">
        <v>551.2</v>
      </c>
      <c r="T27" s="6">
        <v>1228</v>
      </c>
      <c r="U27" s="37">
        <v>42.18</v>
      </c>
      <c r="V27" s="6">
        <v>1318</v>
      </c>
      <c r="W27" s="6">
        <v>-17.78</v>
      </c>
      <c r="X27" s="6">
        <v>648</v>
      </c>
      <c r="Y27" s="35">
        <v>1.983</v>
      </c>
    </row>
    <row r="28" spans="1:25" ht="12.75">
      <c r="A28" s="6">
        <v>2019</v>
      </c>
      <c r="B28" s="53">
        <v>43671</v>
      </c>
      <c r="C28" s="37">
        <v>30.04</v>
      </c>
      <c r="D28" s="6">
        <v>1528</v>
      </c>
      <c r="E28" s="37">
        <v>15.24</v>
      </c>
      <c r="F28" s="6">
        <v>507</v>
      </c>
      <c r="G28" s="37">
        <v>22.02</v>
      </c>
      <c r="H28" s="37">
        <v>77.2</v>
      </c>
      <c r="I28" s="6">
        <v>616</v>
      </c>
      <c r="J28" s="37">
        <v>29.91</v>
      </c>
      <c r="K28" s="6">
        <v>1538</v>
      </c>
      <c r="L28" s="37">
        <v>53.67</v>
      </c>
      <c r="M28" s="38">
        <v>0</v>
      </c>
      <c r="N28" s="35">
        <v>1.314</v>
      </c>
      <c r="O28" s="39">
        <f>6.425*3.6</f>
        <v>23.13</v>
      </c>
      <c r="P28" s="6">
        <v>1250</v>
      </c>
      <c r="Q28" s="36">
        <v>20.44</v>
      </c>
      <c r="R28" s="34">
        <v>6.226</v>
      </c>
      <c r="S28" s="36">
        <v>622.1</v>
      </c>
      <c r="T28" s="6">
        <v>1212</v>
      </c>
      <c r="U28" s="37">
        <v>39.21</v>
      </c>
      <c r="V28" s="6">
        <v>1316</v>
      </c>
      <c r="W28" s="6">
        <v>-14.11</v>
      </c>
      <c r="X28" s="6">
        <v>502</v>
      </c>
      <c r="Y28" s="39">
        <v>2.132</v>
      </c>
    </row>
    <row r="29" spans="1:25" ht="12.75">
      <c r="A29" s="6">
        <v>2019</v>
      </c>
      <c r="B29" s="53">
        <v>43672</v>
      </c>
      <c r="C29" s="37">
        <v>29.64</v>
      </c>
      <c r="D29" s="6">
        <v>1508</v>
      </c>
      <c r="E29" s="37">
        <v>14.52</v>
      </c>
      <c r="F29" s="6">
        <v>522</v>
      </c>
      <c r="G29" s="37">
        <v>21.37</v>
      </c>
      <c r="H29" s="37">
        <v>78</v>
      </c>
      <c r="I29" s="6">
        <v>634</v>
      </c>
      <c r="J29" s="37">
        <v>24.74</v>
      </c>
      <c r="K29" s="6">
        <v>1434</v>
      </c>
      <c r="L29" s="37">
        <v>51.11</v>
      </c>
      <c r="M29" s="38">
        <v>0</v>
      </c>
      <c r="N29" s="35">
        <v>0.965</v>
      </c>
      <c r="O29" s="35">
        <f>5.675*3.6</f>
        <v>20.43</v>
      </c>
      <c r="P29" s="6">
        <v>1108</v>
      </c>
      <c r="Q29" s="36">
        <v>81.5</v>
      </c>
      <c r="R29" s="37">
        <v>5.769</v>
      </c>
      <c r="S29" s="36">
        <v>618.2</v>
      </c>
      <c r="T29" s="6">
        <v>1238</v>
      </c>
      <c r="U29" s="6">
        <v>40.54</v>
      </c>
      <c r="V29" s="6">
        <v>1339</v>
      </c>
      <c r="W29" s="37">
        <v>-17.17</v>
      </c>
      <c r="X29" s="6">
        <v>430</v>
      </c>
      <c r="Y29" s="35">
        <v>1.827</v>
      </c>
    </row>
    <row r="30" spans="1:25" ht="12.75">
      <c r="A30" s="6">
        <v>2019</v>
      </c>
      <c r="B30" s="53">
        <v>43673</v>
      </c>
      <c r="C30" s="37">
        <v>29.43</v>
      </c>
      <c r="D30" s="6">
        <v>1520</v>
      </c>
      <c r="E30" s="37">
        <v>13.65</v>
      </c>
      <c r="F30" s="6">
        <v>534</v>
      </c>
      <c r="G30" s="6">
        <v>20.85</v>
      </c>
      <c r="H30" s="37">
        <v>75.6</v>
      </c>
      <c r="I30" s="6">
        <v>535</v>
      </c>
      <c r="J30" s="37">
        <v>24.54</v>
      </c>
      <c r="K30" s="6">
        <v>1522</v>
      </c>
      <c r="L30" s="37">
        <v>48.85</v>
      </c>
      <c r="M30" s="6">
        <v>0</v>
      </c>
      <c r="N30" s="35">
        <v>0.828</v>
      </c>
      <c r="O30" s="39">
        <f>5.825*3.6</f>
        <v>20.970000000000002</v>
      </c>
      <c r="P30" s="6">
        <v>1130</v>
      </c>
      <c r="Q30" s="36">
        <v>47.2</v>
      </c>
      <c r="R30" s="34">
        <v>6.86</v>
      </c>
      <c r="S30" s="36">
        <v>534.5</v>
      </c>
      <c r="T30" s="6">
        <v>1310</v>
      </c>
      <c r="U30" s="37">
        <v>41.07</v>
      </c>
      <c r="V30" s="6">
        <v>1328</v>
      </c>
      <c r="W30" s="37">
        <v>-18.31</v>
      </c>
      <c r="X30" s="6">
        <v>648</v>
      </c>
      <c r="Y30" s="35">
        <v>2.038</v>
      </c>
    </row>
    <row r="31" spans="1:25" ht="12.75">
      <c r="A31" s="6">
        <v>2019</v>
      </c>
      <c r="B31" s="53">
        <v>43674</v>
      </c>
      <c r="C31" s="37">
        <v>28.45</v>
      </c>
      <c r="D31" s="6">
        <v>1536</v>
      </c>
      <c r="E31" s="37">
        <v>13.13</v>
      </c>
      <c r="F31" s="6">
        <v>658</v>
      </c>
      <c r="G31" s="37">
        <v>20.56</v>
      </c>
      <c r="H31" s="37">
        <v>69.52</v>
      </c>
      <c r="I31" s="6">
        <v>402</v>
      </c>
      <c r="J31" s="6">
        <v>22.68</v>
      </c>
      <c r="K31" s="6">
        <v>1551</v>
      </c>
      <c r="L31" s="37">
        <v>45.21</v>
      </c>
      <c r="M31" s="6">
        <v>0</v>
      </c>
      <c r="N31" s="35">
        <v>1.145</v>
      </c>
      <c r="O31" s="39">
        <f>6.125*3.6</f>
        <v>22.05</v>
      </c>
      <c r="P31" s="6">
        <v>1436</v>
      </c>
      <c r="Q31" s="36">
        <v>74.1</v>
      </c>
      <c r="R31" s="37">
        <v>7.25</v>
      </c>
      <c r="S31" s="36">
        <v>573</v>
      </c>
      <c r="T31" s="6">
        <v>1318</v>
      </c>
      <c r="U31" s="37">
        <v>41.14</v>
      </c>
      <c r="V31" s="6">
        <v>1313</v>
      </c>
      <c r="W31" s="37">
        <v>-19.83</v>
      </c>
      <c r="X31" s="6">
        <v>700</v>
      </c>
      <c r="Y31" s="35">
        <v>2.34</v>
      </c>
    </row>
    <row r="32" spans="1:25" ht="12.75">
      <c r="A32" s="6">
        <v>2019</v>
      </c>
      <c r="B32" s="53">
        <v>43675</v>
      </c>
      <c r="C32" s="37">
        <v>28.91</v>
      </c>
      <c r="D32" s="6">
        <v>1426</v>
      </c>
      <c r="E32" s="37">
        <v>14.65</v>
      </c>
      <c r="F32" s="6">
        <v>643</v>
      </c>
      <c r="G32" s="37">
        <v>20.71</v>
      </c>
      <c r="H32" s="37">
        <v>73.9</v>
      </c>
      <c r="I32" s="6">
        <v>455</v>
      </c>
      <c r="J32" s="6">
        <v>24.47</v>
      </c>
      <c r="K32" s="6">
        <v>1433</v>
      </c>
      <c r="L32" s="37">
        <v>50.74</v>
      </c>
      <c r="M32" s="6">
        <v>0</v>
      </c>
      <c r="N32" s="35">
        <v>1.659</v>
      </c>
      <c r="O32" s="39">
        <f>5.6*3.6</f>
        <v>20.16</v>
      </c>
      <c r="P32" s="6">
        <v>1258</v>
      </c>
      <c r="Q32" s="36">
        <v>14.79</v>
      </c>
      <c r="R32" s="37">
        <v>5.239</v>
      </c>
      <c r="S32" s="36">
        <v>717</v>
      </c>
      <c r="T32" s="6">
        <v>1227</v>
      </c>
      <c r="U32" s="37">
        <v>34.6</v>
      </c>
      <c r="V32" s="6">
        <v>1351</v>
      </c>
      <c r="W32" s="37">
        <v>-14.33</v>
      </c>
      <c r="X32" s="6">
        <v>628</v>
      </c>
      <c r="Y32" s="35">
        <v>1.851</v>
      </c>
    </row>
    <row r="33" spans="1:25" ht="12.75">
      <c r="A33" s="6">
        <v>2019</v>
      </c>
      <c r="B33" s="53">
        <v>43676</v>
      </c>
      <c r="C33" s="37">
        <v>30.29</v>
      </c>
      <c r="D33" s="6">
        <v>1505</v>
      </c>
      <c r="E33" s="6">
        <v>14.18</v>
      </c>
      <c r="F33" s="6">
        <v>602</v>
      </c>
      <c r="G33" s="37">
        <v>21.04</v>
      </c>
      <c r="H33" s="37">
        <v>77.4</v>
      </c>
      <c r="I33" s="6">
        <v>702</v>
      </c>
      <c r="J33" s="37">
        <v>25.46</v>
      </c>
      <c r="K33" s="6">
        <v>1512</v>
      </c>
      <c r="L33" s="37">
        <v>53.9</v>
      </c>
      <c r="M33" s="6">
        <v>0</v>
      </c>
      <c r="N33" s="35">
        <v>1.316</v>
      </c>
      <c r="O33" s="39">
        <f>8.75*3.6</f>
        <v>31.5</v>
      </c>
      <c r="P33" s="6">
        <v>1610</v>
      </c>
      <c r="Q33" s="36">
        <v>179.3</v>
      </c>
      <c r="R33" s="37">
        <v>6.453</v>
      </c>
      <c r="S33" s="36">
        <v>725</v>
      </c>
      <c r="T33" s="6">
        <v>1157</v>
      </c>
      <c r="U33" s="37">
        <v>39.02</v>
      </c>
      <c r="V33" s="6">
        <v>1318</v>
      </c>
      <c r="W33" s="37">
        <v>-16.95</v>
      </c>
      <c r="X33" s="6">
        <v>345</v>
      </c>
      <c r="Y33" s="35">
        <v>2.319</v>
      </c>
    </row>
    <row r="34" spans="1:25" ht="12.75">
      <c r="A34" s="6">
        <v>2019</v>
      </c>
      <c r="B34" s="53">
        <v>43677</v>
      </c>
      <c r="C34" s="6">
        <v>29.56</v>
      </c>
      <c r="D34" s="6">
        <v>1446</v>
      </c>
      <c r="E34" s="37">
        <v>12.52</v>
      </c>
      <c r="F34" s="6">
        <v>643</v>
      </c>
      <c r="G34" s="37">
        <v>20.71</v>
      </c>
      <c r="H34" s="37">
        <v>92.1</v>
      </c>
      <c r="I34" s="6">
        <v>415</v>
      </c>
      <c r="J34" s="6">
        <v>21.29</v>
      </c>
      <c r="K34" s="6">
        <v>1447</v>
      </c>
      <c r="L34" s="6">
        <v>54.36</v>
      </c>
      <c r="M34" s="36">
        <v>0</v>
      </c>
      <c r="N34" s="35">
        <v>1.016</v>
      </c>
      <c r="O34" s="39">
        <f>6.05*3.6</f>
        <v>21.78</v>
      </c>
      <c r="P34" s="6">
        <v>1357</v>
      </c>
      <c r="Q34" s="36">
        <v>229</v>
      </c>
      <c r="R34" s="37">
        <v>7.21</v>
      </c>
      <c r="S34" s="36">
        <v>493.7</v>
      </c>
      <c r="T34" s="6">
        <v>1227</v>
      </c>
      <c r="U34" s="6">
        <v>43.91</v>
      </c>
      <c r="V34" s="6">
        <v>1307</v>
      </c>
      <c r="W34" s="37">
        <v>-18.09</v>
      </c>
      <c r="X34" s="6">
        <v>702</v>
      </c>
      <c r="Y34" s="39">
        <v>2.077</v>
      </c>
    </row>
    <row r="35" spans="3:25" ht="12.75">
      <c r="C35" s="40">
        <f>AVERAGE(C4:C34)</f>
        <v>27.34290322580645</v>
      </c>
      <c r="D35" s="33"/>
      <c r="E35" s="40">
        <f>AVERAGE(E4:E34)</f>
        <v>11.736419354838706</v>
      </c>
      <c r="F35" s="33"/>
      <c r="G35" s="40">
        <f>AVERAGE(G4:G34)</f>
        <v>18.94709677419355</v>
      </c>
      <c r="H35" s="40">
        <f>AVERAGE(H4:H34)</f>
        <v>84.78451612903226</v>
      </c>
      <c r="I35" s="33"/>
      <c r="J35" s="40">
        <f>AVERAGE(J4:J34)</f>
        <v>29.145483870967738</v>
      </c>
      <c r="K35" s="33"/>
      <c r="L35" s="40">
        <f>AVERAGE(L4:L34)</f>
        <v>57.4848387096774</v>
      </c>
      <c r="M35" s="41">
        <f>SUM(M4:M34)</f>
        <v>13.4</v>
      </c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41">
        <f>SUM(Y4:Y34)</f>
        <v>55.511999999999986</v>
      </c>
    </row>
  </sheetData>
  <sheetProtection/>
  <mergeCells count="3">
    <mergeCell ref="A1:B1"/>
    <mergeCell ref="A2:A3"/>
    <mergeCell ref="B2:B3"/>
  </mergeCells>
  <printOptions horizontalCentered="1"/>
  <pageMargins left="0.3937007874015748" right="0.3937007874015748" top="0.7874015748031497" bottom="0.5905511811023623" header="0.5118110236220472" footer="0.5118110236220472"/>
  <pageSetup horizontalDpi="300" verticalDpi="300" orientation="landscape" paperSize="9" scale="68" r:id="rId1"/>
  <headerFooter alignWithMargins="0">
    <oddHeader>&amp;CDADOS METEOROLÓGICOS - ESTAÇÃO EXPERIMENTAL DE CITRICULTURA DE BEBEDOURO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A35"/>
  <sheetViews>
    <sheetView view="pageBreakPreview" zoomScale="75" zoomScaleSheetLayoutView="75" zoomScalePageLayoutView="0" workbookViewId="0" topLeftCell="B2">
      <selection activeCell="P35" sqref="P35"/>
    </sheetView>
  </sheetViews>
  <sheetFormatPr defaultColWidth="9.140625" defaultRowHeight="12.75"/>
  <cols>
    <col min="1" max="1" width="7.140625" style="0" customWidth="1"/>
    <col min="2" max="2" width="8.28125" style="0" customWidth="1"/>
    <col min="3" max="3" width="9.7109375" style="0" customWidth="1"/>
    <col min="6" max="6" width="8.28125" style="0" customWidth="1"/>
    <col min="7" max="7" width="9.7109375" style="0" customWidth="1"/>
    <col min="9" max="9" width="7.28125" style="0" customWidth="1"/>
    <col min="11" max="11" width="7.140625" style="0" customWidth="1"/>
    <col min="13" max="13" width="7.28125" style="0" customWidth="1"/>
    <col min="15" max="15" width="9.7109375" style="0" bestFit="1" customWidth="1"/>
    <col min="16" max="16" width="7.7109375" style="0" customWidth="1"/>
    <col min="17" max="17" width="6.57421875" style="0" customWidth="1"/>
    <col min="18" max="18" width="7.8515625" style="0" customWidth="1"/>
    <col min="19" max="19" width="8.7109375" style="0" customWidth="1"/>
    <col min="20" max="20" width="8.00390625" style="0" customWidth="1"/>
    <col min="21" max="21" width="8.140625" style="0" customWidth="1"/>
    <col min="22" max="22" width="7.00390625" style="0" customWidth="1"/>
    <col min="23" max="23" width="7.7109375" style="0" customWidth="1"/>
    <col min="24" max="24" width="6.7109375" style="0" customWidth="1"/>
    <col min="25" max="25" width="7.28125" style="0" customWidth="1"/>
  </cols>
  <sheetData>
    <row r="1" spans="1:5" ht="12.75">
      <c r="A1" s="65">
        <v>39448</v>
      </c>
      <c r="B1" s="65"/>
      <c r="C1" s="8">
        <v>1</v>
      </c>
      <c r="E1">
        <v>3.6</v>
      </c>
    </row>
    <row r="2" spans="1:25" ht="33.75">
      <c r="A2" s="66" t="s">
        <v>12</v>
      </c>
      <c r="B2" s="66" t="s">
        <v>13</v>
      </c>
      <c r="C2" s="9" t="s">
        <v>14</v>
      </c>
      <c r="D2" s="9" t="s">
        <v>15</v>
      </c>
      <c r="E2" s="9" t="s">
        <v>16</v>
      </c>
      <c r="F2" s="9" t="s">
        <v>17</v>
      </c>
      <c r="G2" s="9" t="s">
        <v>18</v>
      </c>
      <c r="H2" s="9" t="s">
        <v>19</v>
      </c>
      <c r="I2" s="9" t="s">
        <v>15</v>
      </c>
      <c r="J2" s="9" t="s">
        <v>20</v>
      </c>
      <c r="K2" s="9" t="s">
        <v>17</v>
      </c>
      <c r="L2" s="9" t="s">
        <v>21</v>
      </c>
      <c r="M2" s="10" t="s">
        <v>22</v>
      </c>
      <c r="N2" s="9" t="s">
        <v>23</v>
      </c>
      <c r="O2" s="9" t="s">
        <v>24</v>
      </c>
      <c r="P2" s="9" t="s">
        <v>15</v>
      </c>
      <c r="Q2" s="9" t="s">
        <v>35</v>
      </c>
      <c r="R2" s="9" t="s">
        <v>44</v>
      </c>
      <c r="S2" s="9" t="s">
        <v>26</v>
      </c>
      <c r="T2" s="10" t="s">
        <v>15</v>
      </c>
      <c r="U2" s="9" t="s">
        <v>27</v>
      </c>
      <c r="V2" s="9" t="s">
        <v>15</v>
      </c>
      <c r="W2" s="9" t="s">
        <v>28</v>
      </c>
      <c r="X2" s="9" t="s">
        <v>17</v>
      </c>
      <c r="Y2" s="10" t="s">
        <v>29</v>
      </c>
    </row>
    <row r="3" spans="1:25" ht="12.75">
      <c r="A3" s="67"/>
      <c r="B3" s="67"/>
      <c r="C3" s="10" t="s">
        <v>30</v>
      </c>
      <c r="D3" s="10"/>
      <c r="E3" s="10" t="s">
        <v>30</v>
      </c>
      <c r="F3" s="10"/>
      <c r="G3" s="10" t="s">
        <v>30</v>
      </c>
      <c r="H3" s="10" t="s">
        <v>31</v>
      </c>
      <c r="I3" s="10"/>
      <c r="J3" s="10" t="s">
        <v>31</v>
      </c>
      <c r="K3" s="10"/>
      <c r="L3" s="10" t="s">
        <v>31</v>
      </c>
      <c r="M3" s="10" t="s">
        <v>32</v>
      </c>
      <c r="N3" s="10" t="s">
        <v>33</v>
      </c>
      <c r="O3" s="10" t="s">
        <v>42</v>
      </c>
      <c r="P3" s="10"/>
      <c r="Q3" s="10"/>
      <c r="R3" s="10" t="s">
        <v>43</v>
      </c>
      <c r="S3" s="10"/>
      <c r="T3" s="10"/>
      <c r="U3" s="10"/>
      <c r="V3" s="10"/>
      <c r="W3" s="10"/>
      <c r="X3" s="10"/>
      <c r="Y3" s="10" t="s">
        <v>32</v>
      </c>
    </row>
    <row r="4" spans="1:25" ht="12.75">
      <c r="A4" s="6">
        <v>2019</v>
      </c>
      <c r="B4" s="53">
        <v>43678</v>
      </c>
      <c r="C4" s="37">
        <v>31.35</v>
      </c>
      <c r="D4" s="6">
        <v>1520</v>
      </c>
      <c r="E4" s="37">
        <v>13.12</v>
      </c>
      <c r="F4" s="6">
        <v>546</v>
      </c>
      <c r="G4" s="37">
        <v>22.09</v>
      </c>
      <c r="H4" s="37">
        <v>72.9</v>
      </c>
      <c r="I4" s="6">
        <v>620</v>
      </c>
      <c r="J4" s="37">
        <v>21.82</v>
      </c>
      <c r="K4" s="6">
        <v>1407</v>
      </c>
      <c r="L4" s="6">
        <v>44.87</v>
      </c>
      <c r="M4" s="6">
        <v>0</v>
      </c>
      <c r="N4" s="6">
        <v>1.313</v>
      </c>
      <c r="O4" s="35">
        <f>7.7*3.6</f>
        <v>27.720000000000002</v>
      </c>
      <c r="P4" s="6">
        <v>1248</v>
      </c>
      <c r="Q4" s="43">
        <v>309.2</v>
      </c>
      <c r="R4" s="37">
        <v>7.28</v>
      </c>
      <c r="S4" s="36">
        <v>559.5</v>
      </c>
      <c r="T4" s="6">
        <v>1248</v>
      </c>
      <c r="U4" s="37">
        <v>39.74</v>
      </c>
      <c r="V4" s="6">
        <v>1318</v>
      </c>
      <c r="W4" s="6">
        <v>-19.09</v>
      </c>
      <c r="X4" s="6">
        <v>325</v>
      </c>
      <c r="Y4" s="35">
        <v>2.538</v>
      </c>
    </row>
    <row r="5" spans="1:25" ht="12.75">
      <c r="A5" s="6">
        <v>2019</v>
      </c>
      <c r="B5" s="53">
        <v>43679</v>
      </c>
      <c r="C5" s="37">
        <v>32.61</v>
      </c>
      <c r="D5" s="6">
        <v>1359</v>
      </c>
      <c r="E5" s="37">
        <v>14.9</v>
      </c>
      <c r="F5" s="6">
        <v>620</v>
      </c>
      <c r="G5" s="37">
        <v>23.93</v>
      </c>
      <c r="H5" s="37">
        <v>73.5</v>
      </c>
      <c r="I5" s="6">
        <v>2358</v>
      </c>
      <c r="J5" s="37">
        <v>19.36</v>
      </c>
      <c r="K5" s="6">
        <v>1408</v>
      </c>
      <c r="L5" s="37">
        <v>42.69</v>
      </c>
      <c r="M5" s="6">
        <v>0.5</v>
      </c>
      <c r="N5" s="35">
        <v>1.412</v>
      </c>
      <c r="O5" s="35">
        <f>6.5*3.6</f>
        <v>23.400000000000002</v>
      </c>
      <c r="P5" s="6">
        <v>1932</v>
      </c>
      <c r="Q5" s="36">
        <v>280.9</v>
      </c>
      <c r="R5" s="37">
        <v>6.904</v>
      </c>
      <c r="S5" s="36">
        <v>611.8</v>
      </c>
      <c r="T5" s="6">
        <v>1131</v>
      </c>
      <c r="U5" s="37">
        <v>40.64</v>
      </c>
      <c r="V5" s="6">
        <v>1318</v>
      </c>
      <c r="W5" s="6">
        <v>-17.17</v>
      </c>
      <c r="X5" s="6">
        <v>1809</v>
      </c>
      <c r="Y5" s="35">
        <v>2.723</v>
      </c>
    </row>
    <row r="6" spans="1:25" ht="12.75">
      <c r="A6" s="6">
        <v>2019</v>
      </c>
      <c r="B6" s="53">
        <v>43680</v>
      </c>
      <c r="C6" s="37">
        <v>20.07</v>
      </c>
      <c r="D6" s="6">
        <v>41</v>
      </c>
      <c r="E6" s="6">
        <v>12.78</v>
      </c>
      <c r="F6" s="6">
        <v>2342</v>
      </c>
      <c r="G6" s="37">
        <v>16.68</v>
      </c>
      <c r="H6" s="37">
        <v>95.1</v>
      </c>
      <c r="I6" s="6">
        <v>724</v>
      </c>
      <c r="J6" s="37">
        <v>67.7</v>
      </c>
      <c r="K6" s="6">
        <v>1612</v>
      </c>
      <c r="L6" s="37">
        <v>83.1</v>
      </c>
      <c r="M6" s="6">
        <v>0.8</v>
      </c>
      <c r="N6" s="39">
        <v>1.703</v>
      </c>
      <c r="O6" s="39">
        <f>6.2*3.6</f>
        <v>22.32</v>
      </c>
      <c r="P6" s="6">
        <v>136</v>
      </c>
      <c r="Q6" s="36">
        <v>195.9</v>
      </c>
      <c r="R6" s="37">
        <v>2.636</v>
      </c>
      <c r="S6" s="36">
        <v>335</v>
      </c>
      <c r="T6" s="6">
        <v>1043</v>
      </c>
      <c r="U6" s="37">
        <v>7.66</v>
      </c>
      <c r="V6" s="6">
        <v>1058</v>
      </c>
      <c r="W6" s="37">
        <v>-14.44</v>
      </c>
      <c r="X6" s="6">
        <v>2359</v>
      </c>
      <c r="Y6" s="39">
        <v>0.581</v>
      </c>
    </row>
    <row r="7" spans="1:25" ht="12.75">
      <c r="A7" s="6">
        <v>2019</v>
      </c>
      <c r="B7" s="53">
        <v>43681</v>
      </c>
      <c r="C7" s="6">
        <v>15.56</v>
      </c>
      <c r="D7" s="6">
        <v>1307</v>
      </c>
      <c r="E7" s="37">
        <v>11.99</v>
      </c>
      <c r="F7" s="6">
        <v>2304</v>
      </c>
      <c r="G7" s="37">
        <v>13.28</v>
      </c>
      <c r="H7" s="37">
        <v>96.8</v>
      </c>
      <c r="I7" s="6">
        <v>2340</v>
      </c>
      <c r="J7" s="37">
        <v>81.5</v>
      </c>
      <c r="K7" s="6">
        <v>1308</v>
      </c>
      <c r="L7" s="37">
        <v>89</v>
      </c>
      <c r="M7" s="6">
        <v>8.7</v>
      </c>
      <c r="N7" s="35">
        <v>3.114</v>
      </c>
      <c r="O7" s="39">
        <v>34.2</v>
      </c>
      <c r="P7" s="6">
        <v>2343</v>
      </c>
      <c r="Q7" s="36">
        <v>65.81</v>
      </c>
      <c r="R7" s="37">
        <v>1.961</v>
      </c>
      <c r="S7" s="36">
        <v>317.8</v>
      </c>
      <c r="T7" s="6">
        <v>1307</v>
      </c>
      <c r="U7" s="37">
        <v>1.81</v>
      </c>
      <c r="V7" s="6">
        <v>1323</v>
      </c>
      <c r="W7" s="6">
        <v>-15.26</v>
      </c>
      <c r="X7" s="6">
        <v>2358</v>
      </c>
      <c r="Y7" s="35">
        <v>0.398</v>
      </c>
    </row>
    <row r="8" spans="1:25" ht="12.75">
      <c r="A8" s="6">
        <v>2019</v>
      </c>
      <c r="B8" s="53">
        <v>43682</v>
      </c>
      <c r="C8" s="37">
        <v>19.07</v>
      </c>
      <c r="D8" s="6">
        <v>1548</v>
      </c>
      <c r="E8" s="37">
        <v>12.26</v>
      </c>
      <c r="F8" s="6">
        <v>537</v>
      </c>
      <c r="G8" s="37">
        <v>15.3</v>
      </c>
      <c r="H8" s="37">
        <v>95.7</v>
      </c>
      <c r="I8" s="6">
        <v>17</v>
      </c>
      <c r="J8" s="37">
        <v>69.1</v>
      </c>
      <c r="K8" s="6">
        <v>1550</v>
      </c>
      <c r="L8" s="37">
        <v>86.3</v>
      </c>
      <c r="M8" s="6">
        <v>0.5</v>
      </c>
      <c r="N8" s="35">
        <v>2.927</v>
      </c>
      <c r="O8" s="35">
        <f>7.55*3.6</f>
        <v>27.18</v>
      </c>
      <c r="P8" s="6">
        <v>358</v>
      </c>
      <c r="Q8" s="36">
        <v>90.4</v>
      </c>
      <c r="R8" s="37">
        <v>2.333</v>
      </c>
      <c r="S8" s="36">
        <v>567</v>
      </c>
      <c r="T8" s="6">
        <v>1120</v>
      </c>
      <c r="U8" s="37">
        <v>8.4</v>
      </c>
      <c r="V8" s="6">
        <v>1143</v>
      </c>
      <c r="W8" s="37">
        <v>-15.26</v>
      </c>
      <c r="X8" s="6">
        <v>3</v>
      </c>
      <c r="Y8" s="35">
        <v>0.587</v>
      </c>
    </row>
    <row r="9" spans="1:25" ht="12.75">
      <c r="A9" s="6">
        <v>2019</v>
      </c>
      <c r="B9" s="53">
        <v>43683</v>
      </c>
      <c r="C9" s="37">
        <v>23.89</v>
      </c>
      <c r="D9" s="6">
        <v>1507</v>
      </c>
      <c r="E9" s="6">
        <v>12.79</v>
      </c>
      <c r="F9" s="6">
        <v>430</v>
      </c>
      <c r="G9" s="37">
        <v>18.2</v>
      </c>
      <c r="H9" s="37">
        <v>91.4</v>
      </c>
      <c r="I9" s="6">
        <v>654</v>
      </c>
      <c r="J9" s="37">
        <v>52.87</v>
      </c>
      <c r="K9" s="6">
        <v>1509</v>
      </c>
      <c r="L9" s="37">
        <v>74.4</v>
      </c>
      <c r="M9" s="6">
        <v>0</v>
      </c>
      <c r="N9" s="35">
        <v>1.385</v>
      </c>
      <c r="O9" s="39">
        <f>5.075*3.6</f>
        <v>18.27</v>
      </c>
      <c r="P9" s="6">
        <v>1343</v>
      </c>
      <c r="Q9" s="36">
        <v>76.4</v>
      </c>
      <c r="R9" s="37">
        <v>3.722</v>
      </c>
      <c r="S9" s="36">
        <v>716</v>
      </c>
      <c r="T9" s="6">
        <v>1235</v>
      </c>
      <c r="U9" s="37">
        <v>35.41</v>
      </c>
      <c r="V9" s="6">
        <v>1345</v>
      </c>
      <c r="W9" s="37">
        <v>-13.03</v>
      </c>
      <c r="X9" s="6">
        <v>342</v>
      </c>
      <c r="Y9" s="35">
        <v>0.971</v>
      </c>
    </row>
    <row r="10" spans="1:25" ht="12.75">
      <c r="A10" s="6">
        <v>2019</v>
      </c>
      <c r="B10" s="53">
        <v>43684</v>
      </c>
      <c r="C10" s="6">
        <v>28.45</v>
      </c>
      <c r="D10" s="6">
        <v>1432</v>
      </c>
      <c r="E10" s="37">
        <v>13.72</v>
      </c>
      <c r="F10" s="6">
        <v>352</v>
      </c>
      <c r="G10" s="6">
        <v>20.61</v>
      </c>
      <c r="H10" s="37">
        <v>91.7</v>
      </c>
      <c r="I10" s="6">
        <v>404</v>
      </c>
      <c r="J10" s="37">
        <v>38.4</v>
      </c>
      <c r="K10" s="6">
        <v>1541</v>
      </c>
      <c r="L10" s="37">
        <v>66.08</v>
      </c>
      <c r="M10" s="6">
        <v>0</v>
      </c>
      <c r="N10" s="35">
        <v>1.539</v>
      </c>
      <c r="O10" s="39">
        <f>7.32*3.6</f>
        <v>26.352</v>
      </c>
      <c r="P10" s="6">
        <v>1212</v>
      </c>
      <c r="Q10" s="36">
        <v>11.12</v>
      </c>
      <c r="R10" s="37">
        <v>6.407</v>
      </c>
      <c r="S10" s="36">
        <v>671</v>
      </c>
      <c r="T10" s="6">
        <v>1218</v>
      </c>
      <c r="U10" s="6">
        <v>39.14</v>
      </c>
      <c r="V10" s="6">
        <v>1234</v>
      </c>
      <c r="W10" s="37">
        <v>-14.97</v>
      </c>
      <c r="X10" s="6">
        <v>401</v>
      </c>
      <c r="Y10" s="35">
        <v>1.972</v>
      </c>
    </row>
    <row r="11" spans="1:25" ht="12.75">
      <c r="A11" s="6">
        <v>2019</v>
      </c>
      <c r="B11" s="53">
        <v>43685</v>
      </c>
      <c r="C11" s="37">
        <v>29.69</v>
      </c>
      <c r="D11" s="6">
        <v>1556</v>
      </c>
      <c r="E11" s="37">
        <v>13.19</v>
      </c>
      <c r="F11" s="6">
        <v>642</v>
      </c>
      <c r="G11" s="37">
        <v>21.56</v>
      </c>
      <c r="H11" s="37">
        <v>92.7</v>
      </c>
      <c r="I11" s="6">
        <v>645</v>
      </c>
      <c r="J11" s="37">
        <v>29.05</v>
      </c>
      <c r="K11" s="6">
        <v>1544</v>
      </c>
      <c r="L11" s="37">
        <v>59.71</v>
      </c>
      <c r="M11" s="6">
        <v>0</v>
      </c>
      <c r="N11" s="35">
        <v>0.836</v>
      </c>
      <c r="O11" s="39">
        <f>7.17*3.6</f>
        <v>25.812</v>
      </c>
      <c r="P11" s="6">
        <v>1352</v>
      </c>
      <c r="Q11" s="36">
        <v>350.9</v>
      </c>
      <c r="R11" s="37">
        <v>7.04</v>
      </c>
      <c r="S11" s="36">
        <v>609.1</v>
      </c>
      <c r="T11" s="6">
        <v>1234</v>
      </c>
      <c r="U11" s="37">
        <v>45.26</v>
      </c>
      <c r="V11" s="6">
        <v>1251</v>
      </c>
      <c r="W11" s="37">
        <v>-16.9</v>
      </c>
      <c r="X11" s="6">
        <v>652</v>
      </c>
      <c r="Y11" s="35">
        <v>1.968</v>
      </c>
    </row>
    <row r="12" spans="1:25" ht="12.75">
      <c r="A12" s="6">
        <v>2019</v>
      </c>
      <c r="B12" s="53">
        <v>43686</v>
      </c>
      <c r="C12" s="37">
        <v>31.15</v>
      </c>
      <c r="D12" s="6">
        <v>1415</v>
      </c>
      <c r="E12" s="37">
        <v>14.25</v>
      </c>
      <c r="F12" s="6">
        <v>607</v>
      </c>
      <c r="G12" s="6">
        <v>22.62</v>
      </c>
      <c r="H12" s="37">
        <v>86.3</v>
      </c>
      <c r="I12" s="6">
        <v>625</v>
      </c>
      <c r="J12" s="37">
        <v>26.33</v>
      </c>
      <c r="K12" s="6">
        <v>1634</v>
      </c>
      <c r="L12" s="37">
        <v>54.28</v>
      </c>
      <c r="M12" s="6">
        <v>0</v>
      </c>
      <c r="N12" s="35">
        <v>0.987</v>
      </c>
      <c r="O12" s="35">
        <f>6.35*3.6</f>
        <v>22.86</v>
      </c>
      <c r="P12" s="6">
        <v>1234</v>
      </c>
      <c r="Q12" s="36">
        <v>13</v>
      </c>
      <c r="R12" s="37">
        <v>6.839</v>
      </c>
      <c r="S12" s="36">
        <v>674.7</v>
      </c>
      <c r="T12" s="6">
        <v>1221</v>
      </c>
      <c r="U12" s="37">
        <v>43.7</v>
      </c>
      <c r="V12" s="6">
        <v>1304</v>
      </c>
      <c r="W12" s="37">
        <v>-17.94</v>
      </c>
      <c r="X12" s="6">
        <v>1754</v>
      </c>
      <c r="Y12" s="35">
        <v>2.173</v>
      </c>
    </row>
    <row r="13" spans="1:25" ht="12.75">
      <c r="A13" s="6">
        <v>2019</v>
      </c>
      <c r="B13" s="53">
        <v>43687</v>
      </c>
      <c r="C13" s="37">
        <v>32.54</v>
      </c>
      <c r="D13" s="6">
        <v>1447</v>
      </c>
      <c r="E13" s="37">
        <v>15.38</v>
      </c>
      <c r="F13" s="6">
        <v>619</v>
      </c>
      <c r="G13" s="37">
        <v>23.56</v>
      </c>
      <c r="H13" s="37">
        <v>79.9</v>
      </c>
      <c r="I13" s="6">
        <v>15</v>
      </c>
      <c r="J13" s="37">
        <v>16.97</v>
      </c>
      <c r="K13" s="6">
        <v>1438</v>
      </c>
      <c r="L13" s="37">
        <v>47.31</v>
      </c>
      <c r="M13" s="6">
        <v>0</v>
      </c>
      <c r="N13" s="35">
        <v>0.932</v>
      </c>
      <c r="O13" s="35">
        <f>6.5*3.6</f>
        <v>23.400000000000002</v>
      </c>
      <c r="P13" s="6">
        <v>1255</v>
      </c>
      <c r="Q13" s="36">
        <v>308.2</v>
      </c>
      <c r="R13" s="37">
        <v>7.27</v>
      </c>
      <c r="S13" s="6">
        <v>649.5</v>
      </c>
      <c r="T13" s="6">
        <v>1231</v>
      </c>
      <c r="U13" s="37">
        <v>39.79</v>
      </c>
      <c r="V13" s="6">
        <v>1214</v>
      </c>
      <c r="W13" s="37">
        <v>-22.96</v>
      </c>
      <c r="X13" s="6">
        <v>1828</v>
      </c>
      <c r="Y13" s="35">
        <v>2.54</v>
      </c>
    </row>
    <row r="14" spans="1:26" ht="12.75">
      <c r="A14" s="6">
        <v>2019</v>
      </c>
      <c r="B14" s="53">
        <v>43688</v>
      </c>
      <c r="C14" s="37">
        <v>32.8</v>
      </c>
      <c r="D14" s="6">
        <v>1542</v>
      </c>
      <c r="E14" s="37">
        <v>13.39</v>
      </c>
      <c r="F14" s="6">
        <v>621</v>
      </c>
      <c r="G14" s="37">
        <v>23.53</v>
      </c>
      <c r="H14" s="37">
        <v>79.3</v>
      </c>
      <c r="I14" s="6">
        <v>623</v>
      </c>
      <c r="J14" s="37">
        <v>19.5</v>
      </c>
      <c r="K14" s="6">
        <v>1324</v>
      </c>
      <c r="L14" s="37">
        <v>43.21</v>
      </c>
      <c r="M14" s="6">
        <v>0</v>
      </c>
      <c r="N14" s="35">
        <v>0.678</v>
      </c>
      <c r="O14" s="35">
        <f>5.825*3.6</f>
        <v>20.970000000000002</v>
      </c>
      <c r="P14" s="6">
        <v>1351</v>
      </c>
      <c r="Q14" s="36">
        <v>36.34</v>
      </c>
      <c r="R14" s="37">
        <v>7.57</v>
      </c>
      <c r="S14" s="36">
        <v>564.5</v>
      </c>
      <c r="T14" s="6">
        <v>1240</v>
      </c>
      <c r="U14" s="6">
        <v>44.53</v>
      </c>
      <c r="V14" s="6">
        <v>1232</v>
      </c>
      <c r="W14" s="37">
        <v>-26.1</v>
      </c>
      <c r="X14" s="6">
        <v>1909</v>
      </c>
      <c r="Y14" s="35">
        <v>2.391</v>
      </c>
      <c r="Z14" s="13"/>
    </row>
    <row r="15" spans="1:25" ht="12.75">
      <c r="A15" s="6">
        <v>2019</v>
      </c>
      <c r="B15" s="53">
        <v>43689</v>
      </c>
      <c r="C15" s="37">
        <v>32.87</v>
      </c>
      <c r="D15" s="6">
        <v>1501</v>
      </c>
      <c r="E15" s="37">
        <v>16.17</v>
      </c>
      <c r="F15" s="6">
        <v>647</v>
      </c>
      <c r="G15" s="6">
        <v>24.32</v>
      </c>
      <c r="H15" s="37">
        <v>69.99</v>
      </c>
      <c r="I15" s="6">
        <v>644</v>
      </c>
      <c r="J15" s="37">
        <v>22.61</v>
      </c>
      <c r="K15" s="6">
        <v>1538</v>
      </c>
      <c r="L15" s="37">
        <v>43.84</v>
      </c>
      <c r="M15" s="6">
        <v>0</v>
      </c>
      <c r="N15" s="35">
        <v>1.054</v>
      </c>
      <c r="O15" s="35">
        <f>7.47*3.6</f>
        <v>26.892</v>
      </c>
      <c r="P15" s="6">
        <v>1111</v>
      </c>
      <c r="Q15" s="36">
        <v>28.54</v>
      </c>
      <c r="R15" s="37">
        <v>7.81</v>
      </c>
      <c r="S15" s="36">
        <v>644</v>
      </c>
      <c r="T15" s="6">
        <v>1243</v>
      </c>
      <c r="U15" s="37">
        <v>39.27</v>
      </c>
      <c r="V15" s="6">
        <v>1227</v>
      </c>
      <c r="W15" s="37">
        <v>-27.14</v>
      </c>
      <c r="X15" s="6">
        <v>1938</v>
      </c>
      <c r="Y15" s="35">
        <v>2.661</v>
      </c>
    </row>
    <row r="16" spans="1:25" ht="12.75">
      <c r="A16" s="6">
        <v>2019</v>
      </c>
      <c r="B16" s="53">
        <v>43690</v>
      </c>
      <c r="C16" s="37">
        <v>33.46</v>
      </c>
      <c r="D16" s="6">
        <v>1527</v>
      </c>
      <c r="E16" s="37">
        <v>16.1</v>
      </c>
      <c r="F16" s="6">
        <v>703</v>
      </c>
      <c r="G16" s="6">
        <v>24.67</v>
      </c>
      <c r="H16" s="37">
        <v>74.9</v>
      </c>
      <c r="I16" s="6">
        <v>702</v>
      </c>
      <c r="J16" s="37">
        <v>20.16</v>
      </c>
      <c r="K16" s="6">
        <v>1527</v>
      </c>
      <c r="L16" s="37">
        <v>45.89</v>
      </c>
      <c r="M16" s="6">
        <v>0</v>
      </c>
      <c r="N16" s="35">
        <v>1.355</v>
      </c>
      <c r="O16" s="39">
        <f>6.95*3.6</f>
        <v>25.02</v>
      </c>
      <c r="P16" s="6">
        <v>2339</v>
      </c>
      <c r="Q16" s="36">
        <v>131.4</v>
      </c>
      <c r="R16" s="6">
        <v>7.68</v>
      </c>
      <c r="S16" s="36">
        <v>671.6</v>
      </c>
      <c r="T16" s="6">
        <v>1131</v>
      </c>
      <c r="U16" s="6">
        <v>38.24</v>
      </c>
      <c r="V16" s="6">
        <v>1157</v>
      </c>
      <c r="W16" s="37">
        <v>-29.1</v>
      </c>
      <c r="X16" s="6">
        <v>2038</v>
      </c>
      <c r="Y16" s="35">
        <v>2.652</v>
      </c>
    </row>
    <row r="17" spans="1:25" ht="12.75">
      <c r="A17" s="6">
        <v>2019</v>
      </c>
      <c r="B17" s="53">
        <v>43691</v>
      </c>
      <c r="C17" s="37">
        <v>26.99</v>
      </c>
      <c r="D17" s="6">
        <v>1542</v>
      </c>
      <c r="E17" s="37">
        <v>13.05</v>
      </c>
      <c r="F17" s="6">
        <v>2356</v>
      </c>
      <c r="G17" s="37">
        <v>19.3</v>
      </c>
      <c r="H17" s="37">
        <v>81.8</v>
      </c>
      <c r="I17" s="6">
        <v>624</v>
      </c>
      <c r="J17" s="37">
        <v>44.11</v>
      </c>
      <c r="K17" s="6">
        <v>1542</v>
      </c>
      <c r="L17" s="37">
        <v>65.57</v>
      </c>
      <c r="M17" s="6">
        <v>0</v>
      </c>
      <c r="N17" s="35">
        <v>4.783</v>
      </c>
      <c r="O17" s="39">
        <f>9.05*3.6</f>
        <v>32.580000000000005</v>
      </c>
      <c r="P17" s="6">
        <v>1000</v>
      </c>
      <c r="Q17" s="36">
        <v>98.8</v>
      </c>
      <c r="R17" s="37">
        <v>5.65</v>
      </c>
      <c r="S17" s="36">
        <v>613.3</v>
      </c>
      <c r="T17" s="6">
        <v>1233</v>
      </c>
      <c r="U17" s="6">
        <v>26.69</v>
      </c>
      <c r="V17" s="6">
        <v>1421</v>
      </c>
      <c r="W17" s="6">
        <v>-16.22</v>
      </c>
      <c r="X17" s="6">
        <v>2359</v>
      </c>
      <c r="Y17" s="35">
        <v>2.223</v>
      </c>
    </row>
    <row r="18" spans="1:25" ht="12.75">
      <c r="A18" s="6">
        <v>2019</v>
      </c>
      <c r="B18" s="53">
        <v>43692</v>
      </c>
      <c r="C18" s="37">
        <v>27.98</v>
      </c>
      <c r="D18" s="6">
        <v>1438</v>
      </c>
      <c r="E18" s="37">
        <v>11.26</v>
      </c>
      <c r="F18" s="6">
        <v>552</v>
      </c>
      <c r="G18" s="37">
        <v>18.85</v>
      </c>
      <c r="H18" s="37">
        <v>84.5</v>
      </c>
      <c r="I18" s="6">
        <v>613</v>
      </c>
      <c r="J18" s="37">
        <v>29.12</v>
      </c>
      <c r="K18" s="6">
        <v>1616</v>
      </c>
      <c r="L18" s="37">
        <v>58.21</v>
      </c>
      <c r="M18" s="6">
        <v>0</v>
      </c>
      <c r="N18" s="35">
        <v>3.149</v>
      </c>
      <c r="O18" s="39">
        <f>8.37*3.6</f>
        <v>30.131999999999998</v>
      </c>
      <c r="P18" s="6">
        <v>1026</v>
      </c>
      <c r="Q18" s="36">
        <v>64.46</v>
      </c>
      <c r="R18" s="37">
        <v>7.69</v>
      </c>
      <c r="S18" s="36">
        <v>548</v>
      </c>
      <c r="T18" s="6">
        <v>1224</v>
      </c>
      <c r="U18" s="37">
        <v>40</v>
      </c>
      <c r="V18" s="6">
        <v>1323</v>
      </c>
      <c r="W18" s="37">
        <v>-21.66</v>
      </c>
      <c r="X18" s="6">
        <v>1802</v>
      </c>
      <c r="Y18" s="35">
        <v>2.552</v>
      </c>
    </row>
    <row r="19" spans="1:25" ht="12.75">
      <c r="A19" s="6">
        <v>2019</v>
      </c>
      <c r="B19" s="53">
        <v>43693</v>
      </c>
      <c r="C19" s="37">
        <v>27.39</v>
      </c>
      <c r="D19" s="6">
        <v>1528</v>
      </c>
      <c r="E19" s="37">
        <v>12.12</v>
      </c>
      <c r="F19" s="6">
        <v>530</v>
      </c>
      <c r="G19" s="6">
        <v>19.71</v>
      </c>
      <c r="H19" s="37">
        <v>80.8</v>
      </c>
      <c r="I19" s="6">
        <v>531</v>
      </c>
      <c r="J19" s="6">
        <v>28.19</v>
      </c>
      <c r="K19" s="6">
        <v>1552</v>
      </c>
      <c r="L19" s="37">
        <v>53.09</v>
      </c>
      <c r="M19" s="6">
        <v>0</v>
      </c>
      <c r="N19" s="35">
        <v>1.452</v>
      </c>
      <c r="O19" s="35">
        <f>7.92*3.6</f>
        <v>28.512</v>
      </c>
      <c r="P19" s="6">
        <v>1149</v>
      </c>
      <c r="Q19" s="36">
        <v>52.38</v>
      </c>
      <c r="R19" s="37">
        <v>6.982</v>
      </c>
      <c r="S19" s="36">
        <v>562.7</v>
      </c>
      <c r="T19" s="6">
        <v>1121</v>
      </c>
      <c r="U19" s="37">
        <v>38.14</v>
      </c>
      <c r="V19" s="6">
        <v>1223</v>
      </c>
      <c r="W19" s="37">
        <v>-18.97</v>
      </c>
      <c r="X19" s="6">
        <v>206</v>
      </c>
      <c r="Y19" s="35">
        <v>2.094</v>
      </c>
    </row>
    <row r="20" spans="1:25" ht="12.75">
      <c r="A20" s="6">
        <v>2019</v>
      </c>
      <c r="B20" s="53">
        <v>43694</v>
      </c>
      <c r="C20" s="37">
        <v>30.16</v>
      </c>
      <c r="D20" s="6">
        <v>1459</v>
      </c>
      <c r="E20" s="6">
        <v>12.26</v>
      </c>
      <c r="F20" s="6">
        <v>504</v>
      </c>
      <c r="G20" s="37">
        <v>21.06</v>
      </c>
      <c r="H20" s="37">
        <v>82.9</v>
      </c>
      <c r="I20" s="6">
        <v>506</v>
      </c>
      <c r="J20" s="37">
        <v>21.95</v>
      </c>
      <c r="K20" s="6">
        <v>1615</v>
      </c>
      <c r="L20" s="37">
        <v>49.73</v>
      </c>
      <c r="M20" s="6">
        <v>0</v>
      </c>
      <c r="N20" s="35">
        <v>1.048</v>
      </c>
      <c r="O20" s="35">
        <f>8*3.6</f>
        <v>28.8</v>
      </c>
      <c r="P20" s="6">
        <v>1107</v>
      </c>
      <c r="Q20" s="36">
        <v>13.1</v>
      </c>
      <c r="R20" s="37">
        <v>7.94</v>
      </c>
      <c r="S20" s="36">
        <v>606.5</v>
      </c>
      <c r="T20" s="6">
        <v>1242</v>
      </c>
      <c r="U20" s="37">
        <v>44.43</v>
      </c>
      <c r="V20" s="6">
        <v>1313</v>
      </c>
      <c r="W20" s="37">
        <v>-25.28</v>
      </c>
      <c r="X20" s="6">
        <v>1833</v>
      </c>
      <c r="Y20" s="35">
        <v>2.353</v>
      </c>
    </row>
    <row r="21" spans="1:25" ht="12.75">
      <c r="A21" s="6">
        <v>2019</v>
      </c>
      <c r="B21" s="53">
        <v>43695</v>
      </c>
      <c r="C21" s="37">
        <v>32.08</v>
      </c>
      <c r="D21" s="6">
        <v>1456</v>
      </c>
      <c r="E21" s="37">
        <v>12.86</v>
      </c>
      <c r="F21" s="6">
        <v>507</v>
      </c>
      <c r="G21" s="37">
        <v>22.8</v>
      </c>
      <c r="H21" s="37">
        <v>76.2</v>
      </c>
      <c r="I21" s="6">
        <v>506</v>
      </c>
      <c r="J21" s="37">
        <v>21.15</v>
      </c>
      <c r="K21" s="6">
        <v>1416</v>
      </c>
      <c r="L21" s="37">
        <v>44.3</v>
      </c>
      <c r="M21" s="6">
        <v>0</v>
      </c>
      <c r="N21" s="35">
        <v>1.045</v>
      </c>
      <c r="O21" s="39">
        <f>6.575*3.6</f>
        <v>23.67</v>
      </c>
      <c r="P21" s="6">
        <v>1448</v>
      </c>
      <c r="Q21" s="36">
        <v>273.4</v>
      </c>
      <c r="R21" s="37">
        <v>6.855</v>
      </c>
      <c r="S21" s="36">
        <v>783</v>
      </c>
      <c r="T21" s="6">
        <v>1118</v>
      </c>
      <c r="U21" s="6">
        <v>35.81</v>
      </c>
      <c r="V21" s="6">
        <v>1318</v>
      </c>
      <c r="W21" s="37">
        <v>-22.51</v>
      </c>
      <c r="X21" s="6">
        <v>1843</v>
      </c>
      <c r="Y21" s="35">
        <v>2.482</v>
      </c>
    </row>
    <row r="22" spans="1:27" ht="12.75">
      <c r="A22" s="6">
        <v>2019</v>
      </c>
      <c r="B22" s="53">
        <v>43696</v>
      </c>
      <c r="C22" s="6">
        <v>30.23</v>
      </c>
      <c r="D22" s="6">
        <v>1401</v>
      </c>
      <c r="E22" s="6">
        <v>15.57</v>
      </c>
      <c r="F22" s="6">
        <v>327</v>
      </c>
      <c r="G22" s="37">
        <v>22.61</v>
      </c>
      <c r="H22" s="37">
        <v>74.4</v>
      </c>
      <c r="I22" s="6">
        <v>628</v>
      </c>
      <c r="J22" s="37">
        <v>27.59</v>
      </c>
      <c r="K22" s="6">
        <v>1418</v>
      </c>
      <c r="L22" s="37">
        <v>52.97</v>
      </c>
      <c r="M22" s="6">
        <v>0</v>
      </c>
      <c r="N22" s="35">
        <v>1.142</v>
      </c>
      <c r="O22" s="39">
        <f>4.7*3.6</f>
        <v>16.92</v>
      </c>
      <c r="P22" s="6">
        <v>2015</v>
      </c>
      <c r="Q22" s="36">
        <v>93.9</v>
      </c>
      <c r="R22" s="37">
        <v>4.482</v>
      </c>
      <c r="S22" s="36">
        <v>536.3</v>
      </c>
      <c r="T22" s="6">
        <v>1115</v>
      </c>
      <c r="U22" s="34">
        <v>34.88</v>
      </c>
      <c r="V22" s="6">
        <v>1315</v>
      </c>
      <c r="W22" s="37">
        <v>-15.15</v>
      </c>
      <c r="X22" s="6">
        <v>1725</v>
      </c>
      <c r="Y22" s="35">
        <v>1.662</v>
      </c>
      <c r="AA22" s="27"/>
    </row>
    <row r="23" spans="1:25" ht="12.75">
      <c r="A23" s="6">
        <v>2019</v>
      </c>
      <c r="B23" s="53">
        <v>43697</v>
      </c>
      <c r="C23" s="37">
        <v>29.82</v>
      </c>
      <c r="D23" s="6">
        <v>1503</v>
      </c>
      <c r="E23" s="37">
        <v>16.49</v>
      </c>
      <c r="F23" s="6">
        <v>529</v>
      </c>
      <c r="G23" s="37">
        <v>21.77</v>
      </c>
      <c r="H23" s="37">
        <v>85</v>
      </c>
      <c r="I23" s="6">
        <v>916</v>
      </c>
      <c r="J23" s="37">
        <v>37.6</v>
      </c>
      <c r="K23" s="6">
        <v>1503</v>
      </c>
      <c r="L23" s="37">
        <v>65.45</v>
      </c>
      <c r="M23" s="36">
        <v>0.3</v>
      </c>
      <c r="N23" s="35">
        <v>1.765</v>
      </c>
      <c r="O23" s="39">
        <f>5.375*3.6</f>
        <v>19.35</v>
      </c>
      <c r="P23" s="6">
        <v>2355</v>
      </c>
      <c r="Q23" s="36">
        <v>116.9</v>
      </c>
      <c r="R23" s="37">
        <v>5.717</v>
      </c>
      <c r="S23" s="36">
        <v>447.4</v>
      </c>
      <c r="T23" s="6">
        <v>1213</v>
      </c>
      <c r="U23" s="6">
        <v>38.28</v>
      </c>
      <c r="V23" s="6">
        <v>1238</v>
      </c>
      <c r="W23" s="37">
        <v>-25.82</v>
      </c>
      <c r="X23" s="6">
        <v>1943</v>
      </c>
      <c r="Y23" s="35">
        <v>1.721</v>
      </c>
    </row>
    <row r="24" spans="1:25" ht="12.75">
      <c r="A24" s="6">
        <v>2019</v>
      </c>
      <c r="B24" s="53">
        <v>43698</v>
      </c>
      <c r="C24" s="37">
        <v>30.62</v>
      </c>
      <c r="D24" s="6">
        <v>1456</v>
      </c>
      <c r="E24" s="37">
        <v>14.51</v>
      </c>
      <c r="F24" s="6">
        <v>639</v>
      </c>
      <c r="G24" s="37">
        <v>21.72</v>
      </c>
      <c r="H24" s="37">
        <v>89.9</v>
      </c>
      <c r="I24" s="6">
        <v>644</v>
      </c>
      <c r="J24" s="6">
        <v>28.12</v>
      </c>
      <c r="K24" s="6">
        <v>1429</v>
      </c>
      <c r="L24" s="37">
        <v>61.84</v>
      </c>
      <c r="M24" s="6">
        <v>0</v>
      </c>
      <c r="N24" s="35">
        <v>2.612</v>
      </c>
      <c r="O24" s="39">
        <f>5.9*3.6</f>
        <v>21.240000000000002</v>
      </c>
      <c r="P24" s="6">
        <v>1456</v>
      </c>
      <c r="Q24" s="36">
        <v>241.4</v>
      </c>
      <c r="R24" s="37">
        <v>7.13</v>
      </c>
      <c r="S24" s="36">
        <v>552.1</v>
      </c>
      <c r="T24" s="6">
        <v>1223</v>
      </c>
      <c r="U24" s="37">
        <v>39.04</v>
      </c>
      <c r="V24" s="6">
        <v>1146</v>
      </c>
      <c r="W24" s="37">
        <v>-28.97</v>
      </c>
      <c r="X24" s="6">
        <v>2049</v>
      </c>
      <c r="Y24" s="35">
        <v>2.401</v>
      </c>
    </row>
    <row r="25" spans="1:25" ht="12.75">
      <c r="A25" s="6">
        <v>2019</v>
      </c>
      <c r="B25" s="53">
        <v>43699</v>
      </c>
      <c r="C25" s="37">
        <v>29.09</v>
      </c>
      <c r="D25" s="6">
        <v>1523</v>
      </c>
      <c r="E25" s="6">
        <v>13.05</v>
      </c>
      <c r="F25" s="6">
        <v>627</v>
      </c>
      <c r="G25" s="6">
        <v>20.44</v>
      </c>
      <c r="H25" s="37">
        <v>88.8</v>
      </c>
      <c r="I25" s="6">
        <v>638</v>
      </c>
      <c r="J25" s="37">
        <v>26.66</v>
      </c>
      <c r="K25" s="6">
        <v>1641</v>
      </c>
      <c r="L25" s="37">
        <v>59.41</v>
      </c>
      <c r="M25" s="6">
        <v>0</v>
      </c>
      <c r="N25" s="35">
        <v>2.655</v>
      </c>
      <c r="O25" s="35">
        <f>7.47*3.6</f>
        <v>26.892</v>
      </c>
      <c r="P25" s="6">
        <v>819</v>
      </c>
      <c r="Q25" s="36">
        <v>108.5</v>
      </c>
      <c r="R25" s="37">
        <v>8.14</v>
      </c>
      <c r="S25" s="36">
        <v>533.5</v>
      </c>
      <c r="T25" s="6">
        <v>1237</v>
      </c>
      <c r="U25" s="37">
        <v>37.84</v>
      </c>
      <c r="V25" s="6">
        <v>1158</v>
      </c>
      <c r="W25" s="37">
        <v>-32.38</v>
      </c>
      <c r="X25" s="6">
        <v>2044</v>
      </c>
      <c r="Y25" s="35">
        <v>2.393</v>
      </c>
    </row>
    <row r="26" spans="1:26" ht="12.75">
      <c r="A26" s="6">
        <v>2019</v>
      </c>
      <c r="B26" s="53">
        <v>43700</v>
      </c>
      <c r="C26" s="37">
        <v>27.45</v>
      </c>
      <c r="D26" s="6">
        <v>1526</v>
      </c>
      <c r="E26" s="37">
        <v>11.86</v>
      </c>
      <c r="F26" s="6">
        <v>623</v>
      </c>
      <c r="G26" s="37">
        <v>19.04</v>
      </c>
      <c r="H26" s="37">
        <v>91.4</v>
      </c>
      <c r="I26" s="6">
        <v>631</v>
      </c>
      <c r="J26" s="37">
        <v>31.84</v>
      </c>
      <c r="K26" s="6">
        <v>1526</v>
      </c>
      <c r="L26" s="37">
        <v>61.59</v>
      </c>
      <c r="M26" s="6">
        <v>0</v>
      </c>
      <c r="N26" s="35">
        <v>2.072</v>
      </c>
      <c r="O26" s="39">
        <f>6.65*3.6</f>
        <v>23.94</v>
      </c>
      <c r="P26" s="6">
        <v>1033</v>
      </c>
      <c r="Q26" s="36">
        <v>162.8</v>
      </c>
      <c r="R26" s="37">
        <v>7.51</v>
      </c>
      <c r="S26" s="36">
        <v>526.9</v>
      </c>
      <c r="T26" s="6">
        <v>1007</v>
      </c>
      <c r="U26" s="37">
        <v>36.26</v>
      </c>
      <c r="V26" s="6">
        <v>1235</v>
      </c>
      <c r="W26" s="37">
        <v>-30.88</v>
      </c>
      <c r="X26" s="6">
        <v>1943</v>
      </c>
      <c r="Y26" s="35">
        <v>2.306</v>
      </c>
      <c r="Z26" s="32"/>
    </row>
    <row r="27" spans="1:25" ht="12.75">
      <c r="A27" s="6">
        <v>2019</v>
      </c>
      <c r="B27" s="53">
        <v>43701</v>
      </c>
      <c r="C27" s="37">
        <v>27.84</v>
      </c>
      <c r="D27" s="6">
        <v>1539</v>
      </c>
      <c r="E27" s="37">
        <v>11.6</v>
      </c>
      <c r="F27" s="6">
        <v>649</v>
      </c>
      <c r="G27" s="37">
        <v>19.26</v>
      </c>
      <c r="H27" s="37">
        <v>87.5</v>
      </c>
      <c r="I27" s="6">
        <v>652</v>
      </c>
      <c r="J27" s="37">
        <v>22.28</v>
      </c>
      <c r="K27" s="6">
        <v>1649</v>
      </c>
      <c r="L27" s="37">
        <v>53.37</v>
      </c>
      <c r="M27" s="6">
        <v>0</v>
      </c>
      <c r="N27" s="35">
        <v>2.293</v>
      </c>
      <c r="O27" s="39">
        <f>6.575*3.6</f>
        <v>23.67</v>
      </c>
      <c r="P27" s="6">
        <v>2320</v>
      </c>
      <c r="Q27" s="36">
        <v>114</v>
      </c>
      <c r="R27" s="37">
        <v>8.59</v>
      </c>
      <c r="S27" s="36">
        <v>534.5</v>
      </c>
      <c r="T27" s="6">
        <v>1255</v>
      </c>
      <c r="U27" s="37">
        <v>40.46</v>
      </c>
      <c r="V27" s="6">
        <v>1212</v>
      </c>
      <c r="W27" s="37">
        <v>-32.6</v>
      </c>
      <c r="X27" s="6">
        <v>1942</v>
      </c>
      <c r="Y27" s="35">
        <v>2.712</v>
      </c>
    </row>
    <row r="28" spans="1:26" ht="12.75">
      <c r="A28" s="6">
        <v>2019</v>
      </c>
      <c r="B28" s="53">
        <v>43702</v>
      </c>
      <c r="C28" s="37">
        <v>31.41</v>
      </c>
      <c r="D28" s="6">
        <v>1546</v>
      </c>
      <c r="E28" s="6">
        <v>11.53</v>
      </c>
      <c r="F28" s="6">
        <v>617</v>
      </c>
      <c r="G28" s="37">
        <v>20.61</v>
      </c>
      <c r="H28" s="37">
        <v>84.4</v>
      </c>
      <c r="I28" s="6">
        <v>632</v>
      </c>
      <c r="J28" s="37">
        <v>18.5</v>
      </c>
      <c r="K28" s="6">
        <v>1446</v>
      </c>
      <c r="L28" s="37">
        <v>52</v>
      </c>
      <c r="M28" s="6">
        <v>0</v>
      </c>
      <c r="N28" s="39">
        <v>2.41</v>
      </c>
      <c r="O28" s="39">
        <f>6.05*3.6</f>
        <v>21.78</v>
      </c>
      <c r="P28" s="6">
        <v>8</v>
      </c>
      <c r="Q28" s="36">
        <v>107.3</v>
      </c>
      <c r="R28" s="37">
        <v>8.6</v>
      </c>
      <c r="S28" s="36">
        <v>599</v>
      </c>
      <c r="T28" s="6">
        <v>1257</v>
      </c>
      <c r="U28" s="37">
        <v>42.27</v>
      </c>
      <c r="V28" s="6">
        <v>1202</v>
      </c>
      <c r="W28" s="6">
        <v>-32.62</v>
      </c>
      <c r="X28" s="6">
        <v>2058</v>
      </c>
      <c r="Y28" s="35">
        <v>2.449</v>
      </c>
      <c r="Z28" s="27"/>
    </row>
    <row r="29" spans="1:26" ht="12.75">
      <c r="A29" s="6">
        <v>2019</v>
      </c>
      <c r="B29" s="53">
        <v>43703</v>
      </c>
      <c r="C29" s="37">
        <v>31.61</v>
      </c>
      <c r="D29" s="6">
        <v>1528</v>
      </c>
      <c r="E29" s="37">
        <v>13.78</v>
      </c>
      <c r="F29" s="6">
        <v>606</v>
      </c>
      <c r="G29" s="37">
        <v>22.1</v>
      </c>
      <c r="H29" s="37">
        <v>78.3</v>
      </c>
      <c r="I29" s="6">
        <v>610</v>
      </c>
      <c r="J29" s="37">
        <v>19.96</v>
      </c>
      <c r="K29" s="6">
        <v>1427</v>
      </c>
      <c r="L29" s="37">
        <v>49</v>
      </c>
      <c r="M29" s="6">
        <v>0</v>
      </c>
      <c r="N29" s="35">
        <v>1.9</v>
      </c>
      <c r="O29" s="39">
        <f>5.675*3.6</f>
        <v>20.43</v>
      </c>
      <c r="P29" s="6">
        <v>916</v>
      </c>
      <c r="Q29" s="36">
        <v>49.38</v>
      </c>
      <c r="R29" s="37">
        <v>8.54</v>
      </c>
      <c r="S29" s="36">
        <v>616.3</v>
      </c>
      <c r="T29" s="6">
        <v>1213</v>
      </c>
      <c r="U29" s="37">
        <v>36.42</v>
      </c>
      <c r="V29" s="6">
        <v>1130</v>
      </c>
      <c r="W29" s="6">
        <v>-34.18</v>
      </c>
      <c r="X29" s="6">
        <v>2123</v>
      </c>
      <c r="Y29" s="35">
        <v>2.613</v>
      </c>
      <c r="Z29" s="27"/>
    </row>
    <row r="30" spans="1:25" ht="12.75">
      <c r="A30" s="6">
        <v>2019</v>
      </c>
      <c r="B30" s="53">
        <v>43704</v>
      </c>
      <c r="C30" s="37">
        <v>31.22</v>
      </c>
      <c r="D30" s="6">
        <v>1431</v>
      </c>
      <c r="E30" s="6">
        <v>16.03</v>
      </c>
      <c r="F30" s="6">
        <v>414</v>
      </c>
      <c r="G30" s="37">
        <v>23.34</v>
      </c>
      <c r="H30" s="37">
        <v>67.92</v>
      </c>
      <c r="I30" s="6">
        <v>415</v>
      </c>
      <c r="J30" s="37">
        <v>22.68</v>
      </c>
      <c r="K30" s="6">
        <v>1540</v>
      </c>
      <c r="L30" s="37">
        <v>44.42</v>
      </c>
      <c r="M30" s="6">
        <v>0</v>
      </c>
      <c r="N30" s="35">
        <v>1.832</v>
      </c>
      <c r="O30" s="35">
        <f>6.575*3.6</f>
        <v>23.67</v>
      </c>
      <c r="P30" s="6">
        <v>913</v>
      </c>
      <c r="Q30" s="36">
        <v>58.99</v>
      </c>
      <c r="R30" s="37">
        <v>7.57</v>
      </c>
      <c r="S30" s="36">
        <v>642.8</v>
      </c>
      <c r="T30" s="6">
        <v>1234</v>
      </c>
      <c r="U30" s="37">
        <v>32.28</v>
      </c>
      <c r="V30" s="6">
        <v>1105</v>
      </c>
      <c r="W30" s="6">
        <v>-32.05</v>
      </c>
      <c r="X30" s="6">
        <v>2234</v>
      </c>
      <c r="Y30" s="35">
        <v>2.792</v>
      </c>
    </row>
    <row r="31" spans="1:25" ht="12.75">
      <c r="A31" s="6">
        <v>2019</v>
      </c>
      <c r="B31" s="53">
        <v>43705</v>
      </c>
      <c r="C31" s="37">
        <v>28.25</v>
      </c>
      <c r="D31" s="6">
        <v>1308</v>
      </c>
      <c r="E31" s="6">
        <v>16.82</v>
      </c>
      <c r="F31" s="6">
        <v>612</v>
      </c>
      <c r="G31" s="37">
        <v>22.16</v>
      </c>
      <c r="H31" s="37">
        <v>71.2</v>
      </c>
      <c r="I31" s="6">
        <v>723</v>
      </c>
      <c r="J31" s="37">
        <v>32.17</v>
      </c>
      <c r="K31" s="6">
        <v>1308</v>
      </c>
      <c r="L31" s="37">
        <v>49.76</v>
      </c>
      <c r="M31" s="6">
        <v>0</v>
      </c>
      <c r="N31" s="35">
        <v>2.016</v>
      </c>
      <c r="O31" s="35">
        <f>6.425*3.6</f>
        <v>23.13</v>
      </c>
      <c r="P31" s="6">
        <v>859</v>
      </c>
      <c r="Q31" s="36">
        <v>88.4</v>
      </c>
      <c r="R31" s="37">
        <v>5.756</v>
      </c>
      <c r="S31" s="36">
        <v>647</v>
      </c>
      <c r="T31" s="6">
        <v>1213</v>
      </c>
      <c r="U31" s="37">
        <v>20.82</v>
      </c>
      <c r="V31" s="6">
        <v>1127</v>
      </c>
      <c r="W31" s="37">
        <v>-32.96</v>
      </c>
      <c r="X31" s="6">
        <v>2143</v>
      </c>
      <c r="Y31" s="35">
        <v>2.175</v>
      </c>
    </row>
    <row r="32" spans="1:25" ht="12.75">
      <c r="A32" s="6">
        <v>2019</v>
      </c>
      <c r="B32" s="53">
        <v>43706</v>
      </c>
      <c r="C32" s="37">
        <v>30.88</v>
      </c>
      <c r="D32" s="6">
        <v>619</v>
      </c>
      <c r="E32" s="6">
        <v>13.65</v>
      </c>
      <c r="F32" s="6">
        <v>619</v>
      </c>
      <c r="G32" s="37">
        <v>22.24</v>
      </c>
      <c r="H32" s="37">
        <v>71.8</v>
      </c>
      <c r="I32" s="6">
        <v>631</v>
      </c>
      <c r="J32" s="6">
        <v>25.73</v>
      </c>
      <c r="K32" s="6">
        <v>1528</v>
      </c>
      <c r="L32" s="37">
        <v>46.65</v>
      </c>
      <c r="M32" s="6">
        <v>0</v>
      </c>
      <c r="N32" s="35">
        <v>1.832</v>
      </c>
      <c r="O32" s="35">
        <f>7.1*3.6</f>
        <v>25.56</v>
      </c>
      <c r="P32" s="6">
        <v>942</v>
      </c>
      <c r="Q32" s="36">
        <v>55.69</v>
      </c>
      <c r="R32" s="37">
        <v>8.06</v>
      </c>
      <c r="S32" s="36">
        <v>624.6</v>
      </c>
      <c r="T32" s="6">
        <v>1303</v>
      </c>
      <c r="U32" s="37">
        <v>33.63</v>
      </c>
      <c r="V32" s="6">
        <v>1122</v>
      </c>
      <c r="W32" s="37">
        <v>-34.42</v>
      </c>
      <c r="X32" s="6">
        <v>2237</v>
      </c>
      <c r="Y32" s="35">
        <v>2.714</v>
      </c>
    </row>
    <row r="33" spans="1:25" ht="12.75">
      <c r="A33" s="6">
        <v>2019</v>
      </c>
      <c r="B33" s="53">
        <v>43707</v>
      </c>
      <c r="C33" s="37">
        <v>33</v>
      </c>
      <c r="D33" s="6">
        <v>1454</v>
      </c>
      <c r="E33" s="37">
        <v>14.51</v>
      </c>
      <c r="F33" s="6">
        <v>449</v>
      </c>
      <c r="G33" s="37">
        <v>23.96</v>
      </c>
      <c r="H33" s="37">
        <v>75.6</v>
      </c>
      <c r="I33" s="6">
        <v>448</v>
      </c>
      <c r="J33" s="37">
        <v>22.15</v>
      </c>
      <c r="K33" s="6">
        <v>1454</v>
      </c>
      <c r="L33" s="37">
        <v>44.24</v>
      </c>
      <c r="M33" s="6">
        <v>0</v>
      </c>
      <c r="N33" s="35">
        <v>0.978</v>
      </c>
      <c r="O33" s="39">
        <f>6.425*3.6</f>
        <v>23.13</v>
      </c>
      <c r="P33" s="6">
        <v>1018</v>
      </c>
      <c r="Q33" s="36">
        <v>18.09</v>
      </c>
      <c r="R33" s="37">
        <v>8.02</v>
      </c>
      <c r="S33" s="36">
        <v>667.5</v>
      </c>
      <c r="T33" s="6">
        <v>1341</v>
      </c>
      <c r="U33" s="37">
        <v>28.78</v>
      </c>
      <c r="V33" s="6">
        <v>1053</v>
      </c>
      <c r="W33" s="6">
        <v>-34.67</v>
      </c>
      <c r="X33" s="6">
        <v>2359</v>
      </c>
      <c r="Y33" s="39">
        <v>2.628</v>
      </c>
    </row>
    <row r="34" spans="1:25" ht="12.75">
      <c r="A34" s="6">
        <v>2019</v>
      </c>
      <c r="B34" s="53">
        <v>43708</v>
      </c>
      <c r="C34" s="37">
        <v>34.85</v>
      </c>
      <c r="D34" s="6">
        <v>1513</v>
      </c>
      <c r="E34" s="37">
        <v>16.76</v>
      </c>
      <c r="F34" s="6">
        <v>344</v>
      </c>
      <c r="G34" s="37">
        <v>25.44</v>
      </c>
      <c r="H34" s="37">
        <v>73.5</v>
      </c>
      <c r="I34" s="6">
        <v>2235</v>
      </c>
      <c r="J34" s="37">
        <v>20.75</v>
      </c>
      <c r="K34" s="6">
        <v>1513</v>
      </c>
      <c r="L34" s="37">
        <v>43.71</v>
      </c>
      <c r="M34" s="6">
        <v>1.7</v>
      </c>
      <c r="N34" s="39">
        <v>1.57</v>
      </c>
      <c r="O34" s="39">
        <f>9.27*3.6</f>
        <v>33.372</v>
      </c>
      <c r="P34" s="6">
        <v>2212</v>
      </c>
      <c r="Q34" s="36">
        <v>196.5</v>
      </c>
      <c r="R34" s="37">
        <v>7.31</v>
      </c>
      <c r="S34" s="36">
        <v>647.7</v>
      </c>
      <c r="T34" s="6">
        <v>1204</v>
      </c>
      <c r="U34" s="37">
        <v>22.76</v>
      </c>
      <c r="V34" s="6">
        <v>1027</v>
      </c>
      <c r="W34" s="37">
        <v>-35.44</v>
      </c>
      <c r="X34" s="6">
        <v>33</v>
      </c>
      <c r="Y34" s="35">
        <v>2.949</v>
      </c>
    </row>
    <row r="35" spans="3:25" ht="12.75">
      <c r="C35" s="40">
        <f>AVERAGE(C4:C34)</f>
        <v>29.17354838709678</v>
      </c>
      <c r="D35" s="33"/>
      <c r="E35" s="40">
        <f>AVERAGE(E4:E34)</f>
        <v>13.798387096774192</v>
      </c>
      <c r="F35" s="33"/>
      <c r="G35" s="40">
        <f>AVERAGE(G4:G34)</f>
        <v>21.18580645161291</v>
      </c>
      <c r="H35" s="40">
        <f>AVERAGE(H4:H34)</f>
        <v>82.13258064516131</v>
      </c>
      <c r="I35" s="33"/>
      <c r="J35" s="40">
        <f>AVERAGE(J4:J34)</f>
        <v>31.158709677419356</v>
      </c>
      <c r="K35" s="33"/>
      <c r="L35" s="40">
        <f>AVERAGE(L4:L34)</f>
        <v>55.999677419354846</v>
      </c>
      <c r="M35" s="41">
        <f>SUM(M4:M34)</f>
        <v>12.5</v>
      </c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41">
        <f>SUM(Y4:Y34)</f>
        <v>67.374</v>
      </c>
    </row>
  </sheetData>
  <sheetProtection/>
  <mergeCells count="3">
    <mergeCell ref="A1:B1"/>
    <mergeCell ref="A2:A3"/>
    <mergeCell ref="B2:B3"/>
  </mergeCells>
  <printOptions horizontalCentered="1"/>
  <pageMargins left="0.3937007874015748" right="0.3937007874015748" top="0.7874015748031497" bottom="0.5905511811023623" header="0.5118110236220472" footer="0.5118110236220472"/>
  <pageSetup horizontalDpi="300" verticalDpi="300" orientation="landscape" paperSize="9" scale="68" r:id="rId1"/>
  <headerFooter alignWithMargins="0">
    <oddHeader>&amp;CDADOS METEOROLÓGICOS - ESTAÇÃO EXPERIMENTAL DE CITRICULTURA DE BEBEDOURO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ESTAÇÃO EXPERIMENTAL DE CITRICULTURA DE BEBEDOURO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FUNDAÇÃO DES PESQUISAS AGROINDUSTRIAIS DE BEBEDOUR</dc:creator>
  <cp:keywords/>
  <dc:description/>
  <cp:lastModifiedBy>Usuario</cp:lastModifiedBy>
  <cp:lastPrinted>2015-12-02T09:08:45Z</cp:lastPrinted>
  <dcterms:created xsi:type="dcterms:W3CDTF">2004-01-02T09:41:49Z</dcterms:created>
  <dcterms:modified xsi:type="dcterms:W3CDTF">2020-01-03T11:23:34Z</dcterms:modified>
  <cp:category/>
  <cp:version/>
  <cp:contentType/>
  <cp:contentStatus/>
</cp:coreProperties>
</file>