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tabRatio="604" firstSheet="1" activeTab="12"/>
  </bookViews>
  <sheets>
    <sheet name="Dia Juliano" sheetId="1" r:id="rId1"/>
    <sheet name="JAN" sheetId="2" r:id="rId2"/>
    <sheet name="FEV" sheetId="3" r:id="rId3"/>
    <sheet name="MAR" sheetId="4" r:id="rId4"/>
    <sheet name="ABR" sheetId="5" r:id="rId5"/>
    <sheet name="MAI" sheetId="6" r:id="rId6"/>
    <sheet name="JUN" sheetId="7" r:id="rId7"/>
    <sheet name="JUL" sheetId="8" r:id="rId8"/>
    <sheet name="AGO" sheetId="9" r:id="rId9"/>
    <sheet name="SET" sheetId="10" r:id="rId10"/>
    <sheet name="OUT" sheetId="11" r:id="rId11"/>
    <sheet name="NOV" sheetId="12" r:id="rId12"/>
    <sheet name="DEZ" sheetId="13" r:id="rId13"/>
    <sheet name="Médias" sheetId="14" r:id="rId14"/>
  </sheets>
  <externalReferences>
    <externalReference r:id="rId17"/>
  </externalReferences>
  <definedNames>
    <definedName name="_xlnm.Print_Area" localSheetId="4">'ABR'!$A$1:$Y$33</definedName>
    <definedName name="_xlnm.Print_Area" localSheetId="8">'AGO'!$A$1:$Y$35</definedName>
    <definedName name="_xlnm.Print_Area" localSheetId="12">'DEZ'!$A$1:$Y$35</definedName>
    <definedName name="_xlnm.Print_Area" localSheetId="2">'FEV'!$A$1:$Y$32</definedName>
    <definedName name="_xlnm.Print_Area" localSheetId="1">'JAN'!$A$1:$Y$35</definedName>
    <definedName name="_xlnm.Print_Area" localSheetId="7">'JUL'!$A$1:$Y$35</definedName>
    <definedName name="_xlnm.Print_Area" localSheetId="6">'JUN'!$A$1:$Y$34</definedName>
    <definedName name="_xlnm.Print_Area" localSheetId="5">'MAI'!$A$1:$Y$35</definedName>
    <definedName name="_xlnm.Print_Area" localSheetId="3">'MAR'!$A$1:$Y$34</definedName>
    <definedName name="_xlnm.Print_Area" localSheetId="11">'NOV'!$A$1:$Y$34</definedName>
    <definedName name="_xlnm.Print_Area" localSheetId="10">'OUT'!$A$1:$Y$35</definedName>
    <definedName name="_xlnm.Print_Area" localSheetId="9">'SET'!$A$1:$Y$34</definedName>
  </definedNames>
  <calcPr fullCalcOnLoad="1"/>
</workbook>
</file>

<file path=xl/sharedStrings.xml><?xml version="1.0" encoding="utf-8"?>
<sst xmlns="http://schemas.openxmlformats.org/spreadsheetml/2006/main" count="477" uniqueCount="49">
  <si>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</si>
  <si>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</si>
  <si>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</si>
  <si>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</si>
  <si>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</si>
  <si>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</si>
  <si>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</si>
  <si>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</si>
  <si>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</si>
  <si>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</si>
  <si>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</si>
  <si>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</si>
  <si>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</t>
  </si>
  <si>
    <t>Data</t>
  </si>
  <si>
    <t>Temperatura Máxima</t>
  </si>
  <si>
    <t>Hora da Máxima</t>
  </si>
  <si>
    <t>Temperatura Mínima</t>
  </si>
  <si>
    <t>Hora da Mínima</t>
  </si>
  <si>
    <t>Temperatura Média</t>
  </si>
  <si>
    <t>Umidade do Ar Máxima</t>
  </si>
  <si>
    <t>Umidade do Ar Mínima</t>
  </si>
  <si>
    <t>Umidade do ar Média</t>
  </si>
  <si>
    <t>Chuva</t>
  </si>
  <si>
    <t>Velocidade Média Vento</t>
  </si>
  <si>
    <t>Velocidade Máxima Vento</t>
  </si>
  <si>
    <t>Radiação Total</t>
  </si>
  <si>
    <t>Radiação Líquida Máxima</t>
  </si>
  <si>
    <t>Fluxo de Calor Máximo</t>
  </si>
  <si>
    <t>Fluxo de Calor Mínimo</t>
  </si>
  <si>
    <t>ETO</t>
  </si>
  <si>
    <t>(ºC)</t>
  </si>
  <si>
    <t>(%)</t>
  </si>
  <si>
    <t>(mm)</t>
  </si>
  <si>
    <t>(m/s)</t>
  </si>
  <si>
    <t>(kJ/m²)</t>
  </si>
  <si>
    <t>Direção do Vento</t>
  </si>
  <si>
    <t>Precipitação (mm)</t>
  </si>
  <si>
    <t>ETO (mm)</t>
  </si>
  <si>
    <t>Média/Soma</t>
  </si>
  <si>
    <t>Temperatura média ano:</t>
  </si>
  <si>
    <t>Meses</t>
  </si>
  <si>
    <t>Temp. Média</t>
  </si>
  <si>
    <t>(km/h)</t>
  </si>
  <si>
    <t>(MJ/m²)</t>
  </si>
  <si>
    <t>Radiação Total Média</t>
  </si>
  <si>
    <t>Temp. Média Min. (ºC)</t>
  </si>
  <si>
    <t>Temp. Média Máx. (ºC)</t>
  </si>
  <si>
    <t>1439</t>
  </si>
  <si>
    <t>Direção do Vento (°)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</si>
</sst>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"/>
    <numFmt numFmtId="185" formatCode="#,##0.0"/>
    <numFmt numFmtId="186" formatCode="#,##0.000"/>
    <numFmt numFmtId="187" formatCode="#,##0.0000"/>
    <numFmt numFmtId="188" formatCode="0.000"/>
    <numFmt numFmtId="189" formatCode="d/m"/>
    <numFmt numFmtId="190" formatCode="dd/mm/yy"/>
    <numFmt numFmtId="191" formatCode="dd\-mmm\-yy"/>
    <numFmt numFmtId="192" formatCode="d\ \ mmmm\,\ yyyy"/>
    <numFmt numFmtId="193" formatCode="d/m/yy"/>
    <numFmt numFmtId="194" formatCode="0.0000"/>
    <numFmt numFmtId="195" formatCode="#.##0.000"/>
    <numFmt numFmtId="196" formatCode="_(* #,##0.000_);_(* \(#,##0.000\);_(* &quot;-&quot;??_);_(@_)"/>
    <numFmt numFmtId="197" formatCode="mmm/yyyy"/>
    <numFmt numFmtId="198" formatCode="0.00000"/>
    <numFmt numFmtId="199" formatCode="[$-416]dddd\,\ d&quot; de &quot;mmmm&quot; de &quot;yyyy"/>
    <numFmt numFmtId="200" formatCode="0.000000"/>
    <numFmt numFmtId="201" formatCode="&quot;Sim&quot;;&quot;Sim&quot;;&quot;Não&quot;"/>
    <numFmt numFmtId="202" formatCode="&quot;Verdadeiro&quot;;&quot;Verdadeiro&quot;;&quot;Falso&quot;"/>
    <numFmt numFmtId="203" formatCode="&quot;Ativado&quot;;&quot;Ativado&quot;;&quot;Desativado&quot;"/>
    <numFmt numFmtId="204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9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93" fontId="4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84" fontId="6" fillId="0" borderId="0" xfId="0" applyNumberFormat="1" applyFont="1" applyAlignment="1">
      <alignment/>
    </xf>
    <xf numFmtId="0" fontId="0" fillId="0" borderId="0" xfId="0" applyNumberFormat="1" applyAlignment="1">
      <alignment horizontal="center" wrapText="1"/>
    </xf>
    <xf numFmtId="0" fontId="0" fillId="0" borderId="11" xfId="0" applyNumberFormat="1" applyBorder="1" applyAlignment="1">
      <alignment horizontal="center" wrapText="1"/>
    </xf>
    <xf numFmtId="0" fontId="6" fillId="0" borderId="11" xfId="0" applyFont="1" applyBorder="1" applyAlignment="1">
      <alignment/>
    </xf>
    <xf numFmtId="0" fontId="0" fillId="0" borderId="11" xfId="0" applyNumberForma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2" fontId="6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88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188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4" fontId="0" fillId="0" borderId="11" xfId="0" applyNumberFormat="1" applyBorder="1" applyAlignment="1">
      <alignment horizontal="center"/>
    </xf>
    <xf numFmtId="186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88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84" fontId="6" fillId="0" borderId="0" xfId="0" applyNumberFormat="1" applyFont="1" applyAlignment="1">
      <alignment horizontal="center"/>
    </xf>
    <xf numFmtId="4" fontId="0" fillId="0" borderId="11" xfId="0" applyNumberFormat="1" applyFill="1" applyBorder="1" applyAlignment="1">
      <alignment horizontal="center"/>
    </xf>
    <xf numFmtId="185" fontId="0" fillId="0" borderId="11" xfId="0" applyNumberFormat="1" applyBorder="1" applyAlignment="1">
      <alignment horizontal="center"/>
    </xf>
    <xf numFmtId="184" fontId="0" fillId="0" borderId="11" xfId="0" applyNumberFormat="1" applyFont="1" applyBorder="1" applyAlignment="1">
      <alignment horizontal="center"/>
    </xf>
    <xf numFmtId="188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86" fontId="0" fillId="0" borderId="11" xfId="0" applyNumberFormat="1" applyFont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185" fontId="6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Border="1" applyAlignment="1" quotePrefix="1">
      <alignment horizontal="center"/>
    </xf>
    <xf numFmtId="193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93" fontId="0" fillId="35" borderId="11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4" fontId="0" fillId="0" borderId="11" xfId="0" applyNumberFormat="1" applyBorder="1" applyAlignment="1" quotePrefix="1">
      <alignment horizontal="center"/>
    </xf>
    <xf numFmtId="4" fontId="0" fillId="0" borderId="11" xfId="0" applyNumberFormat="1" applyFont="1" applyBorder="1" applyAlignment="1">
      <alignment horizontal="center"/>
    </xf>
    <xf numFmtId="188" fontId="10" fillId="0" borderId="11" xfId="0" applyNumberFormat="1" applyFont="1" applyBorder="1" applyAlignment="1">
      <alignment horizontal="center"/>
    </xf>
    <xf numFmtId="184" fontId="0" fillId="0" borderId="0" xfId="0" applyNumberFormat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fndccorgbr-my.sharepoint.com/personal/leandro_fndcc_org_br/Documents/&#193;rea%20de%20Trabalho/CONVERS&#195;O%20DADOS%20METEOROL&#211;GICOS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  <sheetDataSet>
      <sheetData sheetId="0">
        <row r="4">
          <cell r="C4">
            <v>33.388888888888886</v>
          </cell>
          <cell r="E4">
            <v>18.388888888888886</v>
          </cell>
          <cell r="G4">
            <v>25.055555555555554</v>
          </cell>
          <cell r="H4">
            <v>98.7</v>
          </cell>
          <cell r="I4">
            <v>40.8</v>
          </cell>
          <cell r="J4">
            <v>72</v>
          </cell>
          <cell r="L4">
            <v>2.867225408028231</v>
          </cell>
          <cell r="N4">
            <v>24.7786</v>
          </cell>
        </row>
        <row r="5">
          <cell r="C5">
            <v>35.77777777777778</v>
          </cell>
          <cell r="E5">
            <v>20.11111111111111</v>
          </cell>
          <cell r="G5">
            <v>27.444444444444446</v>
          </cell>
          <cell r="H5">
            <v>86.5</v>
          </cell>
          <cell r="I5">
            <v>41.1</v>
          </cell>
          <cell r="J5">
            <v>65.1</v>
          </cell>
          <cell r="L5">
            <v>2.779003087781209</v>
          </cell>
          <cell r="N5">
            <v>24.456799999999998</v>
          </cell>
          <cell r="P5">
            <v>0</v>
          </cell>
        </row>
        <row r="6">
          <cell r="C6">
            <v>35.72222222222222</v>
          </cell>
          <cell r="E6">
            <v>22.277777777777775</v>
          </cell>
          <cell r="G6">
            <v>27.055555555555557</v>
          </cell>
          <cell r="H6">
            <v>94.3</v>
          </cell>
          <cell r="I6">
            <v>41.3</v>
          </cell>
          <cell r="J6">
            <v>73.8</v>
          </cell>
          <cell r="L6">
            <v>3.573003970004411</v>
          </cell>
          <cell r="N6">
            <v>43.6039</v>
          </cell>
        </row>
        <row r="7">
          <cell r="C7">
            <v>27.88888888888889</v>
          </cell>
          <cell r="E7">
            <v>21.38888888888889</v>
          </cell>
          <cell r="G7">
            <v>24.111111111111114</v>
          </cell>
          <cell r="H7">
            <v>99.1</v>
          </cell>
          <cell r="I7">
            <v>76.4</v>
          </cell>
          <cell r="J7">
            <v>89.7</v>
          </cell>
          <cell r="L7">
            <v>1.9850022055580063</v>
          </cell>
          <cell r="N7">
            <v>21.238799999999998</v>
          </cell>
        </row>
        <row r="8">
          <cell r="C8">
            <v>30.38888888888889</v>
          </cell>
          <cell r="E8">
            <v>19.111111111111114</v>
          </cell>
          <cell r="G8">
            <v>23.88888888888889</v>
          </cell>
          <cell r="H8">
            <v>97.2</v>
          </cell>
          <cell r="I8">
            <v>59.7</v>
          </cell>
          <cell r="J8">
            <v>80.2</v>
          </cell>
          <cell r="L8">
            <v>3.9700044111160127</v>
          </cell>
          <cell r="N8">
            <v>32.340900000000005</v>
          </cell>
          <cell r="P8">
            <v>0</v>
          </cell>
        </row>
        <row r="9">
          <cell r="C9">
            <v>34.888888888888886</v>
          </cell>
          <cell r="E9">
            <v>19.388888888888893</v>
          </cell>
          <cell r="G9">
            <v>26.22222222222222</v>
          </cell>
          <cell r="H9">
            <v>95.3</v>
          </cell>
          <cell r="I9">
            <v>42.2</v>
          </cell>
          <cell r="J9">
            <v>71.4</v>
          </cell>
          <cell r="L9">
            <v>2.955447728275254</v>
          </cell>
          <cell r="N9">
            <v>30.249200000000002</v>
          </cell>
          <cell r="P9">
            <v>0</v>
          </cell>
        </row>
        <row r="10">
          <cell r="C10">
            <v>34.5</v>
          </cell>
          <cell r="E10">
            <v>22.61111111111111</v>
          </cell>
          <cell r="G10">
            <v>28.333333333333332</v>
          </cell>
          <cell r="H10">
            <v>90.4</v>
          </cell>
          <cell r="I10">
            <v>41.3</v>
          </cell>
          <cell r="J10">
            <v>64.1</v>
          </cell>
          <cell r="L10">
            <v>2.602558447287164</v>
          </cell>
          <cell r="N10">
            <v>31.3755</v>
          </cell>
          <cell r="P10">
            <v>0</v>
          </cell>
        </row>
        <row r="11">
          <cell r="C11">
            <v>35.111111111111114</v>
          </cell>
          <cell r="E11">
            <v>22.277777777777775</v>
          </cell>
          <cell r="G11">
            <v>27.666666666666668</v>
          </cell>
          <cell r="H11">
            <v>88.5</v>
          </cell>
          <cell r="I11">
            <v>34.1</v>
          </cell>
          <cell r="J11">
            <v>66.2</v>
          </cell>
          <cell r="L11">
            <v>3.1318923687692988</v>
          </cell>
          <cell r="N11">
            <v>28.801099999999998</v>
          </cell>
          <cell r="P11">
            <v>0</v>
          </cell>
        </row>
        <row r="12">
          <cell r="C12">
            <v>35.166666666666664</v>
          </cell>
          <cell r="E12">
            <v>21.611111111111114</v>
          </cell>
          <cell r="G12">
            <v>26.77777777777778</v>
          </cell>
          <cell r="H12">
            <v>96.8</v>
          </cell>
          <cell r="I12">
            <v>35.2</v>
          </cell>
          <cell r="J12">
            <v>69.7</v>
          </cell>
          <cell r="L12">
            <v>2.955447728275254</v>
          </cell>
          <cell r="N12">
            <v>38.937799999999996</v>
          </cell>
        </row>
        <row r="13">
          <cell r="C13">
            <v>33.22222222222222</v>
          </cell>
          <cell r="E13">
            <v>19.72222222222222</v>
          </cell>
          <cell r="G13">
            <v>25.833333333333332</v>
          </cell>
          <cell r="H13">
            <v>89.9</v>
          </cell>
          <cell r="I13">
            <v>45.7</v>
          </cell>
          <cell r="J13">
            <v>72.1</v>
          </cell>
          <cell r="L13">
            <v>3.661226290251434</v>
          </cell>
          <cell r="N13">
            <v>31.3755</v>
          </cell>
          <cell r="P13">
            <v>0</v>
          </cell>
        </row>
        <row r="14">
          <cell r="C14">
            <v>30.444444444444443</v>
          </cell>
          <cell r="E14">
            <v>18.111111111111107</v>
          </cell>
          <cell r="G14">
            <v>23.444444444444443</v>
          </cell>
          <cell r="H14">
            <v>94.2</v>
          </cell>
          <cell r="I14">
            <v>50.1</v>
          </cell>
          <cell r="J14">
            <v>77.8</v>
          </cell>
          <cell r="L14">
            <v>3.0877812086457874</v>
          </cell>
          <cell r="N14">
            <v>35.5589</v>
          </cell>
          <cell r="P14">
            <v>0</v>
          </cell>
        </row>
        <row r="15">
          <cell r="C15">
            <v>33.27777777777778</v>
          </cell>
          <cell r="E15">
            <v>19.222222222222218</v>
          </cell>
          <cell r="G15">
            <v>25.833333333333332</v>
          </cell>
          <cell r="H15">
            <v>93.4</v>
          </cell>
          <cell r="I15">
            <v>40.3</v>
          </cell>
          <cell r="J15">
            <v>69.2</v>
          </cell>
          <cell r="L15">
            <v>3.3965593295103664</v>
          </cell>
          <cell r="N15">
            <v>34.9153</v>
          </cell>
          <cell r="P15">
            <v>0</v>
          </cell>
        </row>
        <row r="16">
          <cell r="C16">
            <v>35.111111111111114</v>
          </cell>
          <cell r="E16">
            <v>19.27777777777778</v>
          </cell>
          <cell r="G16">
            <v>26.833333333333332</v>
          </cell>
          <cell r="H16">
            <v>92.8</v>
          </cell>
          <cell r="I16">
            <v>30.4</v>
          </cell>
          <cell r="J16">
            <v>61.7</v>
          </cell>
          <cell r="L16">
            <v>2.426113806793119</v>
          </cell>
          <cell r="N16">
            <v>25.5831</v>
          </cell>
          <cell r="P16">
            <v>0</v>
          </cell>
        </row>
        <row r="17">
          <cell r="C17">
            <v>36.5</v>
          </cell>
          <cell r="E17">
            <v>21.888888888888893</v>
          </cell>
          <cell r="G17">
            <v>28.944444444444443</v>
          </cell>
          <cell r="H17">
            <v>76.3</v>
          </cell>
          <cell r="I17">
            <v>31.2</v>
          </cell>
          <cell r="J17">
            <v>53.4</v>
          </cell>
          <cell r="L17">
            <v>2.3820026466696076</v>
          </cell>
          <cell r="N17">
            <v>22.3651</v>
          </cell>
          <cell r="P17">
            <v>0</v>
          </cell>
        </row>
        <row r="18">
          <cell r="C18">
            <v>36.111111111111114</v>
          </cell>
          <cell r="E18">
            <v>23.000000000000004</v>
          </cell>
          <cell r="G18">
            <v>28.88888888888889</v>
          </cell>
          <cell r="H18">
            <v>81.2</v>
          </cell>
          <cell r="I18">
            <v>32.3</v>
          </cell>
          <cell r="J18">
            <v>54.8</v>
          </cell>
          <cell r="L18">
            <v>3.7494486104984563</v>
          </cell>
          <cell r="N18">
            <v>38.937799999999996</v>
          </cell>
          <cell r="P18">
            <v>0</v>
          </cell>
        </row>
        <row r="19">
          <cell r="C19">
            <v>31.61111111111111</v>
          </cell>
          <cell r="E19">
            <v>21.5</v>
          </cell>
          <cell r="G19">
            <v>26.666666666666668</v>
          </cell>
          <cell r="H19">
            <v>95.7</v>
          </cell>
          <cell r="I19">
            <v>49.5</v>
          </cell>
          <cell r="J19">
            <v>70.1</v>
          </cell>
          <cell r="L19">
            <v>2.1614468460520513</v>
          </cell>
          <cell r="N19">
            <v>27.031200000000002</v>
          </cell>
          <cell r="P19">
            <v>0</v>
          </cell>
        </row>
        <row r="20">
          <cell r="C20">
            <v>30.72222222222222</v>
          </cell>
          <cell r="E20">
            <v>21.611111111111114</v>
          </cell>
          <cell r="G20">
            <v>24.88888888888889</v>
          </cell>
          <cell r="H20">
            <v>98</v>
          </cell>
          <cell r="I20">
            <v>60.1</v>
          </cell>
          <cell r="J20">
            <v>82.8</v>
          </cell>
          <cell r="L20">
            <v>1.8526687251874725</v>
          </cell>
          <cell r="N20">
            <v>30.570999999999998</v>
          </cell>
        </row>
        <row r="21">
          <cell r="C21">
            <v>30.77777777777778</v>
          </cell>
          <cell r="E21">
            <v>20.777777777777782</v>
          </cell>
          <cell r="G21">
            <v>24.166666666666668</v>
          </cell>
          <cell r="H21">
            <v>99.03</v>
          </cell>
          <cell r="I21">
            <v>62.2</v>
          </cell>
          <cell r="J21">
            <v>88</v>
          </cell>
          <cell r="L21">
            <v>1.9408910454344952</v>
          </cell>
          <cell r="N21">
            <v>36.3634</v>
          </cell>
        </row>
        <row r="22">
          <cell r="C22">
            <v>28.77777777777778</v>
          </cell>
          <cell r="E22">
            <v>20.72222222222222</v>
          </cell>
          <cell r="G22">
            <v>22.16666666666667</v>
          </cell>
          <cell r="H22">
            <v>99.3</v>
          </cell>
          <cell r="I22">
            <v>72.8</v>
          </cell>
          <cell r="J22">
            <v>95.9</v>
          </cell>
          <cell r="L22">
            <v>2.646669607410675</v>
          </cell>
          <cell r="N22">
            <v>41.6731</v>
          </cell>
        </row>
        <row r="23">
          <cell r="C23">
            <v>32.22222222222222</v>
          </cell>
          <cell r="E23">
            <v>21</v>
          </cell>
          <cell r="G23">
            <v>25.777777777777782</v>
          </cell>
          <cell r="H23">
            <v>99.2</v>
          </cell>
          <cell r="I23">
            <v>50.1</v>
          </cell>
          <cell r="J23">
            <v>83.2</v>
          </cell>
          <cell r="L23">
            <v>3.17600352889281</v>
          </cell>
          <cell r="N23">
            <v>38.937799999999996</v>
          </cell>
        </row>
        <row r="24">
          <cell r="C24">
            <v>34.5</v>
          </cell>
          <cell r="E24">
            <v>22.11111111111111</v>
          </cell>
          <cell r="G24">
            <v>27.16666666666667</v>
          </cell>
          <cell r="H24">
            <v>99.1</v>
          </cell>
          <cell r="I24">
            <v>44.3</v>
          </cell>
          <cell r="J24">
            <v>74.1</v>
          </cell>
          <cell r="L24">
            <v>1.8526687251874725</v>
          </cell>
          <cell r="N24">
            <v>21.5606</v>
          </cell>
        </row>
        <row r="25">
          <cell r="C25">
            <v>30.77777777777778</v>
          </cell>
          <cell r="E25">
            <v>21.11111111111111</v>
          </cell>
          <cell r="G25">
            <v>24.66666666666667</v>
          </cell>
          <cell r="H25">
            <v>97.4</v>
          </cell>
          <cell r="I25">
            <v>58.3</v>
          </cell>
          <cell r="J25">
            <v>83.9</v>
          </cell>
          <cell r="L25">
            <v>2.47022496691663</v>
          </cell>
          <cell r="N25">
            <v>46.0174</v>
          </cell>
        </row>
        <row r="26">
          <cell r="C26">
            <v>30.38888888888889</v>
          </cell>
          <cell r="E26">
            <v>20.27777777777778</v>
          </cell>
          <cell r="G26">
            <v>24.833333333333332</v>
          </cell>
          <cell r="H26">
            <v>98.9</v>
          </cell>
          <cell r="I26">
            <v>55.2</v>
          </cell>
          <cell r="J26">
            <v>81.8</v>
          </cell>
          <cell r="L26">
            <v>1.9850022055580063</v>
          </cell>
          <cell r="N26">
            <v>25.2613</v>
          </cell>
        </row>
        <row r="27">
          <cell r="C27">
            <v>32.5</v>
          </cell>
          <cell r="E27">
            <v>19.388888888888893</v>
          </cell>
          <cell r="H27">
            <v>92.3</v>
          </cell>
          <cell r="I27">
            <v>47.1</v>
          </cell>
          <cell r="J27">
            <v>71</v>
          </cell>
          <cell r="L27">
            <v>2.602558447287164</v>
          </cell>
          <cell r="N27">
            <v>25.5831</v>
          </cell>
          <cell r="P27">
            <v>0</v>
          </cell>
        </row>
        <row r="28">
          <cell r="C28">
            <v>34</v>
          </cell>
          <cell r="E28">
            <v>20.27777777777778</v>
          </cell>
          <cell r="G28">
            <v>26</v>
          </cell>
          <cell r="H28">
            <v>99.2</v>
          </cell>
          <cell r="I28">
            <v>48.4</v>
          </cell>
          <cell r="J28">
            <v>77.9</v>
          </cell>
          <cell r="L28">
            <v>3.4406704896338773</v>
          </cell>
          <cell r="N28">
            <v>35.2371</v>
          </cell>
        </row>
        <row r="29">
          <cell r="C29">
            <v>26.77777777777778</v>
          </cell>
          <cell r="E29">
            <v>18.111111111111107</v>
          </cell>
          <cell r="G29">
            <v>22.16666666666667</v>
          </cell>
          <cell r="H29">
            <v>99.1</v>
          </cell>
          <cell r="I29">
            <v>37</v>
          </cell>
          <cell r="J29">
            <v>74.1</v>
          </cell>
          <cell r="L29">
            <v>3.0877812086457874</v>
          </cell>
          <cell r="N29">
            <v>36.6852</v>
          </cell>
        </row>
        <row r="30">
          <cell r="C30">
            <v>30.88888888888889</v>
          </cell>
          <cell r="E30">
            <v>15.38888888888889</v>
          </cell>
          <cell r="G30">
            <v>23.72222222222222</v>
          </cell>
          <cell r="H30">
            <v>80.3</v>
          </cell>
          <cell r="I30">
            <v>29.2</v>
          </cell>
          <cell r="J30">
            <v>52.2</v>
          </cell>
          <cell r="L30">
            <v>2.2055580061755626</v>
          </cell>
          <cell r="N30">
            <v>21.8824</v>
          </cell>
          <cell r="P30">
            <v>0</v>
          </cell>
        </row>
        <row r="31">
          <cell r="C31">
            <v>32.72222222222222</v>
          </cell>
          <cell r="E31">
            <v>16.27777777777778</v>
          </cell>
          <cell r="G31">
            <v>24.61111111111111</v>
          </cell>
          <cell r="H31">
            <v>82.8</v>
          </cell>
          <cell r="I31">
            <v>29.1</v>
          </cell>
          <cell r="J31">
            <v>55.3</v>
          </cell>
          <cell r="L31">
            <v>3.573003970004411</v>
          </cell>
          <cell r="N31">
            <v>27.031200000000002</v>
          </cell>
          <cell r="P31">
            <v>0</v>
          </cell>
        </row>
        <row r="32">
          <cell r="C32">
            <v>34.5</v>
          </cell>
          <cell r="E32">
            <v>18.5</v>
          </cell>
          <cell r="G32">
            <v>26.444444444444443</v>
          </cell>
          <cell r="H32">
            <v>84</v>
          </cell>
          <cell r="I32">
            <v>33.9</v>
          </cell>
          <cell r="J32">
            <v>58.7</v>
          </cell>
          <cell r="L32">
            <v>2.690780767534186</v>
          </cell>
          <cell r="N32">
            <v>22.3651</v>
          </cell>
          <cell r="P32">
            <v>0</v>
          </cell>
        </row>
        <row r="33">
          <cell r="C33">
            <v>34.72222222222222</v>
          </cell>
          <cell r="E33">
            <v>21.27777777777778</v>
          </cell>
          <cell r="G33">
            <v>27.722222222222225</v>
          </cell>
          <cell r="H33">
            <v>71.2</v>
          </cell>
          <cell r="I33">
            <v>39</v>
          </cell>
          <cell r="J33">
            <v>53.1</v>
          </cell>
          <cell r="L33">
            <v>2.2496691662990735</v>
          </cell>
          <cell r="N33">
            <v>29.4447</v>
          </cell>
          <cell r="P33">
            <v>0</v>
          </cell>
        </row>
        <row r="34">
          <cell r="C34">
            <v>34.111111111111114</v>
          </cell>
          <cell r="E34">
            <v>22.61111111111111</v>
          </cell>
          <cell r="G34">
            <v>28.055555555555557</v>
          </cell>
          <cell r="H34">
            <v>74.3</v>
          </cell>
          <cell r="I34">
            <v>34.2</v>
          </cell>
          <cell r="J34">
            <v>58.2</v>
          </cell>
          <cell r="L34">
            <v>2.646669607410675</v>
          </cell>
          <cell r="N34">
            <v>33.1454</v>
          </cell>
          <cell r="P34">
            <v>0</v>
          </cell>
        </row>
        <row r="35">
          <cell r="C35">
            <v>35.5</v>
          </cell>
          <cell r="E35">
            <v>22.722222222222225</v>
          </cell>
          <cell r="G35">
            <v>29.38888888888889</v>
          </cell>
          <cell r="H35">
            <v>79</v>
          </cell>
          <cell r="I35">
            <v>33.3</v>
          </cell>
          <cell r="J35">
            <v>52.4</v>
          </cell>
          <cell r="L35">
            <v>1.8967798853109836</v>
          </cell>
          <cell r="N35">
            <v>20.595200000000002</v>
          </cell>
          <cell r="P35">
            <v>0</v>
          </cell>
        </row>
        <row r="36">
          <cell r="C36">
            <v>36.888888888888886</v>
          </cell>
          <cell r="E36">
            <v>22.77777777777778</v>
          </cell>
          <cell r="G36">
            <v>30.555555555555557</v>
          </cell>
          <cell r="H36">
            <v>61.2</v>
          </cell>
          <cell r="I36">
            <v>22</v>
          </cell>
          <cell r="J36">
            <v>39.3</v>
          </cell>
          <cell r="L36">
            <v>2.073224525805029</v>
          </cell>
          <cell r="N36">
            <v>24.7786</v>
          </cell>
          <cell r="P36">
            <v>0</v>
          </cell>
        </row>
        <row r="37">
          <cell r="C37">
            <v>37.833333333333336</v>
          </cell>
          <cell r="E37">
            <v>22.22222222222222</v>
          </cell>
          <cell r="G37">
            <v>31.166666666666668</v>
          </cell>
          <cell r="H37">
            <v>65.8</v>
          </cell>
          <cell r="I37">
            <v>22.9</v>
          </cell>
          <cell r="J37">
            <v>39.1</v>
          </cell>
          <cell r="L37">
            <v>1.9408910454344952</v>
          </cell>
          <cell r="N37">
            <v>22.3651</v>
          </cell>
          <cell r="P37">
            <v>0</v>
          </cell>
        </row>
        <row r="38">
          <cell r="C38">
            <v>39.111111111111114</v>
          </cell>
          <cell r="E38">
            <v>24.388888888888893</v>
          </cell>
          <cell r="G38">
            <v>31.88888888888889</v>
          </cell>
          <cell r="H38">
            <v>61.3</v>
          </cell>
          <cell r="I38">
            <v>21.1</v>
          </cell>
          <cell r="J38">
            <v>39.7</v>
          </cell>
          <cell r="L38">
            <v>2.1614468460520513</v>
          </cell>
          <cell r="N38">
            <v>28.801099999999998</v>
          </cell>
          <cell r="P38">
            <v>0</v>
          </cell>
        </row>
        <row r="39">
          <cell r="C39">
            <v>38.111111111111114</v>
          </cell>
          <cell r="E39">
            <v>23.77777777777778</v>
          </cell>
          <cell r="G39">
            <v>30.77777777777778</v>
          </cell>
          <cell r="H39">
            <v>74.8</v>
          </cell>
          <cell r="I39">
            <v>25.2</v>
          </cell>
          <cell r="J39">
            <v>51.3</v>
          </cell>
          <cell r="L39">
            <v>2.82311424790472</v>
          </cell>
          <cell r="N39">
            <v>35.2371</v>
          </cell>
          <cell r="P39">
            <v>0</v>
          </cell>
        </row>
        <row r="40">
          <cell r="C40">
            <v>36.5</v>
          </cell>
          <cell r="E40">
            <v>22.11111111111111</v>
          </cell>
          <cell r="G40">
            <v>27.055555555555557</v>
          </cell>
          <cell r="H40">
            <v>91.1</v>
          </cell>
          <cell r="I40">
            <v>33.3</v>
          </cell>
          <cell r="J40">
            <v>67.9</v>
          </cell>
          <cell r="L40">
            <v>2.779003087781209</v>
          </cell>
          <cell r="N40">
            <v>40.3859</v>
          </cell>
        </row>
        <row r="41">
          <cell r="C41">
            <v>36.611111111111114</v>
          </cell>
          <cell r="E41">
            <v>20.72222222222222</v>
          </cell>
          <cell r="G41">
            <v>28.72222222222222</v>
          </cell>
          <cell r="H41">
            <v>90.9</v>
          </cell>
          <cell r="I41">
            <v>31.1</v>
          </cell>
          <cell r="J41">
            <v>59.2</v>
          </cell>
          <cell r="L41">
            <v>1.8967798853109836</v>
          </cell>
          <cell r="N41">
            <v>27.674799999999998</v>
          </cell>
          <cell r="P41">
            <v>0</v>
          </cell>
        </row>
        <row r="42">
          <cell r="C42">
            <v>37.72222222222222</v>
          </cell>
          <cell r="E42">
            <v>23.88888888888889</v>
          </cell>
          <cell r="G42">
            <v>30.77777777777778</v>
          </cell>
          <cell r="H42">
            <v>78.2</v>
          </cell>
          <cell r="I42">
            <v>29.2</v>
          </cell>
          <cell r="J42">
            <v>54.1</v>
          </cell>
          <cell r="L42">
            <v>1.9850022055580063</v>
          </cell>
          <cell r="N42">
            <v>27.031200000000002</v>
          </cell>
          <cell r="P42">
            <v>0</v>
          </cell>
        </row>
        <row r="43">
          <cell r="C43">
            <v>36.388888888888886</v>
          </cell>
          <cell r="E43">
            <v>23.388888888888886</v>
          </cell>
          <cell r="G43">
            <v>29.444444444444443</v>
          </cell>
          <cell r="H43">
            <v>85.3</v>
          </cell>
          <cell r="I43">
            <v>38</v>
          </cell>
          <cell r="J43">
            <v>62.3</v>
          </cell>
          <cell r="L43">
            <v>3.264225849139833</v>
          </cell>
          <cell r="N43">
            <v>37.007</v>
          </cell>
          <cell r="P43">
            <v>0</v>
          </cell>
        </row>
        <row r="44">
          <cell r="C44">
            <v>36</v>
          </cell>
          <cell r="E44">
            <v>20.38888888888889</v>
          </cell>
          <cell r="G44">
            <v>26.611111111111114</v>
          </cell>
          <cell r="H44">
            <v>99</v>
          </cell>
          <cell r="I44">
            <v>42.2</v>
          </cell>
          <cell r="J44">
            <v>75.3</v>
          </cell>
          <cell r="L44">
            <v>3.484781649757389</v>
          </cell>
          <cell r="N44">
            <v>62.2683</v>
          </cell>
        </row>
        <row r="45">
          <cell r="C45">
            <v>29.5</v>
          </cell>
          <cell r="E45">
            <v>20.500000000000004</v>
          </cell>
          <cell r="G45">
            <v>24.72222222222222</v>
          </cell>
          <cell r="H45">
            <v>98.6</v>
          </cell>
          <cell r="I45">
            <v>62.1</v>
          </cell>
          <cell r="J45">
            <v>81.8</v>
          </cell>
          <cell r="L45">
            <v>1.9408910454344952</v>
          </cell>
          <cell r="N45">
            <v>20.1125</v>
          </cell>
          <cell r="P45">
            <v>0</v>
          </cell>
        </row>
        <row r="46">
          <cell r="C46">
            <v>33.611111111111114</v>
          </cell>
          <cell r="E46">
            <v>22.277777777777775</v>
          </cell>
          <cell r="G46">
            <v>25.833333333333332</v>
          </cell>
          <cell r="H46">
            <v>95.9</v>
          </cell>
          <cell r="I46">
            <v>48.8</v>
          </cell>
          <cell r="J46">
            <v>80.1</v>
          </cell>
          <cell r="L46">
            <v>2.0291133656815172</v>
          </cell>
          <cell r="N46">
            <v>38.937799999999996</v>
          </cell>
        </row>
        <row r="47">
          <cell r="C47">
            <v>32.72222222222222</v>
          </cell>
          <cell r="E47">
            <v>21.722222222222218</v>
          </cell>
          <cell r="G47">
            <v>25.555555555555557</v>
          </cell>
          <cell r="H47">
            <v>98.8</v>
          </cell>
          <cell r="I47">
            <v>55.3</v>
          </cell>
          <cell r="J47">
            <v>83.2</v>
          </cell>
          <cell r="L47">
            <v>1.8967798853109836</v>
          </cell>
          <cell r="N47">
            <v>35.5589</v>
          </cell>
        </row>
        <row r="48">
          <cell r="C48">
            <v>31.72222222222222</v>
          </cell>
          <cell r="E48">
            <v>21.77777777777778</v>
          </cell>
          <cell r="G48">
            <v>24.833333333333332</v>
          </cell>
          <cell r="H48">
            <v>98.7</v>
          </cell>
          <cell r="I48">
            <v>69.9</v>
          </cell>
          <cell r="J48">
            <v>71.7</v>
          </cell>
          <cell r="L48">
            <v>2.1614468460520513</v>
          </cell>
          <cell r="N48">
            <v>37.007</v>
          </cell>
        </row>
        <row r="49">
          <cell r="C49">
            <v>30.11111111111111</v>
          </cell>
          <cell r="E49">
            <v>20.500000000000004</v>
          </cell>
          <cell r="G49">
            <v>24.61111111111111</v>
          </cell>
          <cell r="H49">
            <v>98.8</v>
          </cell>
          <cell r="I49">
            <v>63.2</v>
          </cell>
          <cell r="J49">
            <v>85.1</v>
          </cell>
          <cell r="L49">
            <v>2.867225408028231</v>
          </cell>
          <cell r="N49">
            <v>42.1558</v>
          </cell>
        </row>
        <row r="50">
          <cell r="C50">
            <v>31.27777777777778</v>
          </cell>
          <cell r="E50">
            <v>17.77777777777778</v>
          </cell>
          <cell r="G50">
            <v>24.333333333333332</v>
          </cell>
          <cell r="H50">
            <v>90.1</v>
          </cell>
          <cell r="I50">
            <v>52.3</v>
          </cell>
          <cell r="J50">
            <v>74.8</v>
          </cell>
          <cell r="L50">
            <v>3.705337450374945</v>
          </cell>
          <cell r="N50">
            <v>27.996599999999997</v>
          </cell>
        </row>
        <row r="51">
          <cell r="C51">
            <v>33</v>
          </cell>
          <cell r="E51">
            <v>19.111111111111114</v>
          </cell>
          <cell r="G51">
            <v>25.666666666666668</v>
          </cell>
          <cell r="H51">
            <v>93.2</v>
          </cell>
          <cell r="I51">
            <v>44.8</v>
          </cell>
          <cell r="J51">
            <v>72.3</v>
          </cell>
          <cell r="L51">
            <v>3.0436700485222765</v>
          </cell>
          <cell r="N51">
            <v>33.1454</v>
          </cell>
        </row>
        <row r="52">
          <cell r="C52">
            <v>29.22222222222222</v>
          </cell>
          <cell r="E52">
            <v>21.27777777777778</v>
          </cell>
          <cell r="G52">
            <v>25.11111111111111</v>
          </cell>
          <cell r="H52">
            <v>94.9</v>
          </cell>
          <cell r="I52">
            <v>60.1</v>
          </cell>
          <cell r="J52">
            <v>80.2</v>
          </cell>
          <cell r="L52">
            <v>2.2055580061755626</v>
          </cell>
          <cell r="N52">
            <v>21.8824</v>
          </cell>
        </row>
        <row r="53">
          <cell r="C53">
            <v>32.72222222222222</v>
          </cell>
          <cell r="E53">
            <v>20.611111111111107</v>
          </cell>
          <cell r="G53">
            <v>25.38888888888889</v>
          </cell>
          <cell r="H53">
            <v>99.3</v>
          </cell>
          <cell r="I53">
            <v>49.2</v>
          </cell>
          <cell r="J53">
            <v>77.1</v>
          </cell>
          <cell r="L53">
            <v>2.955447728275254</v>
          </cell>
          <cell r="N53">
            <v>32.019099999999995</v>
          </cell>
        </row>
        <row r="56">
          <cell r="C56">
            <v>33.388888888888886</v>
          </cell>
          <cell r="E56">
            <v>21.38888888888889</v>
          </cell>
          <cell r="G56">
            <v>27.77777777777778</v>
          </cell>
          <cell r="H56">
            <v>96.2</v>
          </cell>
          <cell r="I56">
            <v>46.1</v>
          </cell>
          <cell r="J56">
            <v>71</v>
          </cell>
          <cell r="L56">
            <v>1.588001764446405</v>
          </cell>
          <cell r="N56">
            <v>20.595200000000002</v>
          </cell>
          <cell r="P56">
            <v>0.254</v>
          </cell>
        </row>
        <row r="57">
          <cell r="C57">
            <v>34.611111111111114</v>
          </cell>
          <cell r="E57">
            <v>22.88888888888889</v>
          </cell>
          <cell r="G57">
            <v>29</v>
          </cell>
          <cell r="H57">
            <v>93.8</v>
          </cell>
          <cell r="I57">
            <v>45.2</v>
          </cell>
          <cell r="J57">
            <v>68.2</v>
          </cell>
          <cell r="L57">
            <v>1.8085575650639611</v>
          </cell>
          <cell r="N57">
            <v>28.4793</v>
          </cell>
          <cell r="P57">
            <v>0</v>
          </cell>
        </row>
        <row r="58">
          <cell r="C58">
            <v>34.111111111111114</v>
          </cell>
          <cell r="E58">
            <v>21.38888888888889</v>
          </cell>
          <cell r="G58">
            <v>21.77777777777778</v>
          </cell>
          <cell r="H58">
            <v>96.1</v>
          </cell>
          <cell r="I58">
            <v>47.3</v>
          </cell>
          <cell r="J58">
            <v>68</v>
          </cell>
          <cell r="L58">
            <v>2.0291133656815172</v>
          </cell>
          <cell r="N58">
            <v>26.2267</v>
          </cell>
          <cell r="P58">
            <v>0</v>
          </cell>
        </row>
        <row r="59">
          <cell r="C59">
            <v>30.5</v>
          </cell>
          <cell r="E59">
            <v>20.611111111111107</v>
          </cell>
          <cell r="G59">
            <v>25</v>
          </cell>
          <cell r="H59">
            <v>99.5</v>
          </cell>
          <cell r="I59">
            <v>60.1</v>
          </cell>
          <cell r="J59">
            <v>83.3</v>
          </cell>
          <cell r="L59">
            <v>2.602558447287164</v>
          </cell>
          <cell r="N59">
            <v>30.570999999999998</v>
          </cell>
        </row>
        <row r="60">
          <cell r="C60">
            <v>32.111111111111114</v>
          </cell>
          <cell r="E60">
            <v>19.88888888888889</v>
          </cell>
          <cell r="G60">
            <v>25.166666666666668</v>
          </cell>
          <cell r="H60">
            <v>99.3</v>
          </cell>
          <cell r="I60">
            <v>54.2</v>
          </cell>
          <cell r="J60">
            <v>83</v>
          </cell>
          <cell r="L60">
            <v>2.1614468460520513</v>
          </cell>
          <cell r="N60">
            <v>30.731900000000003</v>
          </cell>
        </row>
        <row r="61">
          <cell r="C61">
            <v>33.111111111111114</v>
          </cell>
          <cell r="E61">
            <v>19.27777777777778</v>
          </cell>
          <cell r="G61">
            <v>26.22222222222222</v>
          </cell>
          <cell r="H61">
            <v>99.2</v>
          </cell>
          <cell r="I61">
            <v>49</v>
          </cell>
          <cell r="J61">
            <v>75</v>
          </cell>
          <cell r="L61">
            <v>1.8967798853109836</v>
          </cell>
          <cell r="N61">
            <v>29.4447</v>
          </cell>
        </row>
        <row r="62">
          <cell r="C62">
            <v>33.72222222222222</v>
          </cell>
          <cell r="E62">
            <v>22.77777777777778</v>
          </cell>
          <cell r="G62">
            <v>28.000000000000004</v>
          </cell>
          <cell r="H62">
            <v>90.7</v>
          </cell>
          <cell r="I62">
            <v>44.8</v>
          </cell>
          <cell r="J62">
            <v>71</v>
          </cell>
          <cell r="L62">
            <v>2.2496691662990735</v>
          </cell>
          <cell r="N62">
            <v>24.456799999999998</v>
          </cell>
        </row>
        <row r="63">
          <cell r="C63">
            <v>32.888888888888886</v>
          </cell>
          <cell r="E63">
            <v>21.5</v>
          </cell>
          <cell r="G63">
            <v>26.999999999999996</v>
          </cell>
          <cell r="H63">
            <v>94.2</v>
          </cell>
          <cell r="I63">
            <v>47.2</v>
          </cell>
          <cell r="J63">
            <v>71.2</v>
          </cell>
          <cell r="L63">
            <v>2.2055580061755626</v>
          </cell>
          <cell r="N63">
            <v>25.9049</v>
          </cell>
        </row>
        <row r="64">
          <cell r="C64">
            <v>33.27777777777778</v>
          </cell>
          <cell r="E64">
            <v>21.722222222222218</v>
          </cell>
          <cell r="G64">
            <v>27.16666666666667</v>
          </cell>
          <cell r="H64">
            <v>90.3</v>
          </cell>
          <cell r="I64">
            <v>44.9</v>
          </cell>
          <cell r="J64">
            <v>70.8</v>
          </cell>
          <cell r="L64">
            <v>3.6171151301279223</v>
          </cell>
          <cell r="N64">
            <v>27.031200000000002</v>
          </cell>
        </row>
        <row r="65">
          <cell r="L65">
            <v>3.3083370092633437</v>
          </cell>
          <cell r="N65">
            <v>27.674799999999998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1"/>
  <sheetViews>
    <sheetView zoomScalePageLayoutView="0" workbookViewId="0" topLeftCell="A89">
      <selection activeCell="A107" sqref="A107"/>
    </sheetView>
  </sheetViews>
  <sheetFormatPr defaultColWidth="9.140625" defaultRowHeight="12.75"/>
  <cols>
    <col min="1" max="32" width="4.421875" style="0" customWidth="1"/>
  </cols>
  <sheetData>
    <row r="1" spans="1:6" ht="12.75">
      <c r="A1" s="1"/>
      <c r="B1" s="1"/>
      <c r="C1" s="1"/>
      <c r="D1" s="1"/>
      <c r="E1" s="2"/>
      <c r="F1" s="2"/>
    </row>
    <row r="2" spans="1:32" ht="12.75">
      <c r="A2" s="3"/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4">
        <v>31</v>
      </c>
    </row>
    <row r="3" spans="1:32" ht="12.75">
      <c r="A3" s="4" t="s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5">
        <v>31</v>
      </c>
    </row>
    <row r="4" spans="1:32" ht="12.75">
      <c r="A4" s="4" t="s">
        <v>1</v>
      </c>
      <c r="B4" s="5">
        <v>32</v>
      </c>
      <c r="C4" s="5">
        <v>33</v>
      </c>
      <c r="D4" s="5">
        <v>34</v>
      </c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53</v>
      </c>
      <c r="X4" s="5">
        <v>54</v>
      </c>
      <c r="Y4" s="5">
        <v>55</v>
      </c>
      <c r="Z4" s="5">
        <v>56</v>
      </c>
      <c r="AA4" s="5">
        <v>57</v>
      </c>
      <c r="AB4" s="5">
        <v>58</v>
      </c>
      <c r="AC4" s="5">
        <v>59</v>
      </c>
      <c r="AD4" s="5">
        <v>60</v>
      </c>
      <c r="AE4" s="5"/>
      <c r="AF4" s="5"/>
    </row>
    <row r="5" spans="1:32" ht="12.75">
      <c r="A5" s="4" t="s">
        <v>2</v>
      </c>
      <c r="B5" s="5">
        <v>60</v>
      </c>
      <c r="C5" s="5">
        <v>61</v>
      </c>
      <c r="D5" s="5">
        <v>62</v>
      </c>
      <c r="E5" s="5">
        <v>63</v>
      </c>
      <c r="F5" s="5">
        <v>64</v>
      </c>
      <c r="G5" s="5">
        <v>65</v>
      </c>
      <c r="H5" s="5">
        <v>66</v>
      </c>
      <c r="I5" s="5">
        <v>67</v>
      </c>
      <c r="J5" s="5">
        <v>68</v>
      </c>
      <c r="K5" s="5">
        <v>69</v>
      </c>
      <c r="L5" s="5">
        <v>70</v>
      </c>
      <c r="M5" s="5">
        <v>71</v>
      </c>
      <c r="N5" s="5">
        <v>72</v>
      </c>
      <c r="O5" s="5">
        <v>73</v>
      </c>
      <c r="P5" s="5">
        <v>74</v>
      </c>
      <c r="Q5" s="5">
        <v>75</v>
      </c>
      <c r="R5" s="5">
        <v>76</v>
      </c>
      <c r="S5" s="5">
        <v>77</v>
      </c>
      <c r="T5" s="5">
        <v>78</v>
      </c>
      <c r="U5" s="5">
        <v>79</v>
      </c>
      <c r="V5" s="5">
        <v>80</v>
      </c>
      <c r="W5" s="5">
        <v>81</v>
      </c>
      <c r="X5" s="5">
        <v>82</v>
      </c>
      <c r="Y5" s="5">
        <v>83</v>
      </c>
      <c r="Z5" s="5">
        <v>84</v>
      </c>
      <c r="AA5" s="5">
        <v>85</v>
      </c>
      <c r="AB5" s="5">
        <v>86</v>
      </c>
      <c r="AC5" s="5">
        <v>87</v>
      </c>
      <c r="AD5" s="5">
        <v>88</v>
      </c>
      <c r="AE5" s="5">
        <v>89</v>
      </c>
      <c r="AF5" s="5">
        <v>90</v>
      </c>
    </row>
    <row r="6" spans="1:32" ht="12.75">
      <c r="A6" s="4" t="s">
        <v>3</v>
      </c>
      <c r="B6" s="5">
        <v>91</v>
      </c>
      <c r="C6" s="5">
        <v>92</v>
      </c>
      <c r="D6" s="5">
        <v>93</v>
      </c>
      <c r="E6" s="5">
        <v>94</v>
      </c>
      <c r="F6" s="5">
        <v>95</v>
      </c>
      <c r="G6" s="5">
        <v>96</v>
      </c>
      <c r="H6" s="5">
        <v>97</v>
      </c>
      <c r="I6" s="5">
        <v>98</v>
      </c>
      <c r="J6" s="5">
        <v>99</v>
      </c>
      <c r="K6" s="5">
        <v>100</v>
      </c>
      <c r="L6" s="5">
        <v>101</v>
      </c>
      <c r="M6" s="5">
        <v>102</v>
      </c>
      <c r="N6" s="5">
        <v>103</v>
      </c>
      <c r="O6" s="5">
        <v>104</v>
      </c>
      <c r="P6" s="5">
        <v>105</v>
      </c>
      <c r="Q6" s="5">
        <v>106</v>
      </c>
      <c r="R6" s="5">
        <v>107</v>
      </c>
      <c r="S6" s="5">
        <v>108</v>
      </c>
      <c r="T6" s="5">
        <v>109</v>
      </c>
      <c r="U6" s="5">
        <v>110</v>
      </c>
      <c r="V6" s="5">
        <v>111</v>
      </c>
      <c r="W6" s="5">
        <v>112</v>
      </c>
      <c r="X6" s="5">
        <v>113</v>
      </c>
      <c r="Y6" s="5">
        <v>114</v>
      </c>
      <c r="Z6" s="5">
        <v>115</v>
      </c>
      <c r="AA6" s="5">
        <v>116</v>
      </c>
      <c r="AB6" s="5">
        <v>117</v>
      </c>
      <c r="AC6" s="5">
        <v>118</v>
      </c>
      <c r="AD6" s="5">
        <v>119</v>
      </c>
      <c r="AE6" s="5">
        <v>120</v>
      </c>
      <c r="AF6" s="5"/>
    </row>
    <row r="7" spans="1:32" ht="12.75">
      <c r="A7" s="4" t="s">
        <v>4</v>
      </c>
      <c r="B7" s="5">
        <v>121</v>
      </c>
      <c r="C7" s="5">
        <v>122</v>
      </c>
      <c r="D7" s="5">
        <v>123</v>
      </c>
      <c r="E7" s="5">
        <v>124</v>
      </c>
      <c r="F7" s="5">
        <v>125</v>
      </c>
      <c r="G7" s="5">
        <v>126</v>
      </c>
      <c r="H7" s="5">
        <v>127</v>
      </c>
      <c r="I7" s="5">
        <v>128</v>
      </c>
      <c r="J7" s="5">
        <v>129</v>
      </c>
      <c r="K7" s="5">
        <v>130</v>
      </c>
      <c r="L7" s="5">
        <v>131</v>
      </c>
      <c r="M7" s="5">
        <v>132</v>
      </c>
      <c r="N7" s="5">
        <v>133</v>
      </c>
      <c r="O7" s="5">
        <v>134</v>
      </c>
      <c r="P7" s="5">
        <v>135</v>
      </c>
      <c r="Q7" s="5">
        <v>136</v>
      </c>
      <c r="R7" s="5">
        <v>137</v>
      </c>
      <c r="S7" s="5">
        <v>138</v>
      </c>
      <c r="T7" s="5">
        <v>139</v>
      </c>
      <c r="U7" s="5">
        <v>140</v>
      </c>
      <c r="V7" s="5">
        <v>141</v>
      </c>
      <c r="W7" s="5">
        <v>142</v>
      </c>
      <c r="X7" s="5">
        <v>143</v>
      </c>
      <c r="Y7" s="5">
        <v>144</v>
      </c>
      <c r="Z7" s="5">
        <v>145</v>
      </c>
      <c r="AA7" s="5">
        <v>146</v>
      </c>
      <c r="AB7" s="5">
        <v>147</v>
      </c>
      <c r="AC7" s="5">
        <v>148</v>
      </c>
      <c r="AD7" s="5">
        <v>149</v>
      </c>
      <c r="AE7" s="5">
        <v>150</v>
      </c>
      <c r="AF7" s="5">
        <v>151</v>
      </c>
    </row>
    <row r="8" spans="1:32" ht="12.75">
      <c r="A8" s="4" t="s">
        <v>5</v>
      </c>
      <c r="B8" s="5">
        <v>152</v>
      </c>
      <c r="C8" s="5">
        <v>153</v>
      </c>
      <c r="D8" s="5">
        <v>154</v>
      </c>
      <c r="E8" s="5">
        <v>155</v>
      </c>
      <c r="F8" s="5">
        <v>156</v>
      </c>
      <c r="G8" s="5">
        <v>157</v>
      </c>
      <c r="H8" s="5">
        <v>158</v>
      </c>
      <c r="I8" s="5">
        <v>159</v>
      </c>
      <c r="J8" s="5">
        <v>160</v>
      </c>
      <c r="K8" s="5">
        <v>161</v>
      </c>
      <c r="L8" s="5">
        <v>162</v>
      </c>
      <c r="M8" s="5">
        <v>163</v>
      </c>
      <c r="N8" s="5">
        <v>164</v>
      </c>
      <c r="O8" s="5">
        <v>165</v>
      </c>
      <c r="P8" s="5">
        <v>166</v>
      </c>
      <c r="Q8" s="5">
        <v>167</v>
      </c>
      <c r="R8" s="5">
        <v>168</v>
      </c>
      <c r="S8" s="5">
        <v>169</v>
      </c>
      <c r="T8" s="5">
        <v>170</v>
      </c>
      <c r="U8" s="5">
        <v>171</v>
      </c>
      <c r="V8" s="5">
        <v>172</v>
      </c>
      <c r="W8" s="5">
        <v>173</v>
      </c>
      <c r="X8" s="5">
        <v>174</v>
      </c>
      <c r="Y8" s="5">
        <v>175</v>
      </c>
      <c r="Z8" s="5">
        <v>176</v>
      </c>
      <c r="AA8" s="5">
        <v>177</v>
      </c>
      <c r="AB8" s="5">
        <v>178</v>
      </c>
      <c r="AC8" s="5">
        <v>179</v>
      </c>
      <c r="AD8" s="5">
        <v>180</v>
      </c>
      <c r="AE8" s="5">
        <v>181</v>
      </c>
      <c r="AF8" s="5"/>
    </row>
    <row r="9" spans="1:32" ht="12.75">
      <c r="A9" s="4" t="s">
        <v>6</v>
      </c>
      <c r="B9" s="5">
        <v>182</v>
      </c>
      <c r="C9" s="5">
        <v>183</v>
      </c>
      <c r="D9" s="5">
        <v>184</v>
      </c>
      <c r="E9" s="5">
        <v>185</v>
      </c>
      <c r="F9" s="5">
        <v>186</v>
      </c>
      <c r="G9" s="5">
        <v>187</v>
      </c>
      <c r="H9" s="5">
        <v>188</v>
      </c>
      <c r="I9" s="5">
        <v>189</v>
      </c>
      <c r="J9" s="5">
        <v>190</v>
      </c>
      <c r="K9" s="5">
        <v>191</v>
      </c>
      <c r="L9" s="5">
        <v>192</v>
      </c>
      <c r="M9" s="5">
        <v>193</v>
      </c>
      <c r="N9" s="5">
        <v>194</v>
      </c>
      <c r="O9" s="5">
        <v>195</v>
      </c>
      <c r="P9" s="5">
        <v>196</v>
      </c>
      <c r="Q9" s="5">
        <v>197</v>
      </c>
      <c r="R9" s="5">
        <v>198</v>
      </c>
      <c r="S9" s="5">
        <v>199</v>
      </c>
      <c r="T9" s="5">
        <v>200</v>
      </c>
      <c r="U9" s="5">
        <v>201</v>
      </c>
      <c r="V9" s="5">
        <v>202</v>
      </c>
      <c r="W9" s="5">
        <v>203</v>
      </c>
      <c r="X9" s="5">
        <v>204</v>
      </c>
      <c r="Y9" s="5">
        <v>205</v>
      </c>
      <c r="Z9" s="5">
        <v>206</v>
      </c>
      <c r="AA9" s="5">
        <v>207</v>
      </c>
      <c r="AB9" s="5">
        <v>208</v>
      </c>
      <c r="AC9" s="5">
        <v>209</v>
      </c>
      <c r="AD9" s="5">
        <v>210</v>
      </c>
      <c r="AE9" s="5">
        <v>211</v>
      </c>
      <c r="AF9" s="5">
        <v>212</v>
      </c>
    </row>
    <row r="10" spans="1:32" ht="12.75">
      <c r="A10" s="4" t="s">
        <v>7</v>
      </c>
      <c r="B10" s="5">
        <v>213</v>
      </c>
      <c r="C10" s="5">
        <v>214</v>
      </c>
      <c r="D10" s="5">
        <v>215</v>
      </c>
      <c r="E10" s="5">
        <v>216</v>
      </c>
      <c r="F10" s="5">
        <v>217</v>
      </c>
      <c r="G10" s="5">
        <v>218</v>
      </c>
      <c r="H10" s="5">
        <v>219</v>
      </c>
      <c r="I10" s="5">
        <v>220</v>
      </c>
      <c r="J10" s="5">
        <v>221</v>
      </c>
      <c r="K10" s="5">
        <v>222</v>
      </c>
      <c r="L10" s="5">
        <v>223</v>
      </c>
      <c r="M10" s="5">
        <v>224</v>
      </c>
      <c r="N10" s="5">
        <v>225</v>
      </c>
      <c r="O10" s="5">
        <v>226</v>
      </c>
      <c r="P10" s="5">
        <v>227</v>
      </c>
      <c r="Q10" s="5">
        <v>228</v>
      </c>
      <c r="R10" s="5">
        <v>229</v>
      </c>
      <c r="S10" s="5">
        <v>230</v>
      </c>
      <c r="T10" s="5">
        <v>231</v>
      </c>
      <c r="U10" s="5">
        <v>232</v>
      </c>
      <c r="V10" s="5">
        <v>233</v>
      </c>
      <c r="W10" s="5">
        <v>234</v>
      </c>
      <c r="X10" s="5">
        <v>235</v>
      </c>
      <c r="Y10" s="5">
        <v>236</v>
      </c>
      <c r="Z10" s="5">
        <v>237</v>
      </c>
      <c r="AA10" s="5">
        <v>238</v>
      </c>
      <c r="AB10" s="5">
        <v>239</v>
      </c>
      <c r="AC10" s="5">
        <v>240</v>
      </c>
      <c r="AD10" s="5">
        <v>241</v>
      </c>
      <c r="AE10" s="5">
        <v>242</v>
      </c>
      <c r="AF10" s="5">
        <v>243</v>
      </c>
    </row>
    <row r="11" spans="1:32" ht="12.75">
      <c r="A11" s="4" t="s">
        <v>8</v>
      </c>
      <c r="B11" s="5">
        <v>244</v>
      </c>
      <c r="C11" s="5">
        <v>245</v>
      </c>
      <c r="D11" s="5">
        <v>246</v>
      </c>
      <c r="E11" s="5">
        <v>247</v>
      </c>
      <c r="F11" s="5">
        <v>248</v>
      </c>
      <c r="G11" s="5">
        <v>249</v>
      </c>
      <c r="H11" s="5">
        <v>250</v>
      </c>
      <c r="I11" s="5">
        <v>251</v>
      </c>
      <c r="J11" s="5">
        <v>252</v>
      </c>
      <c r="K11" s="5">
        <v>253</v>
      </c>
      <c r="L11" s="5">
        <v>254</v>
      </c>
      <c r="M11" s="5">
        <v>255</v>
      </c>
      <c r="N11" s="5">
        <v>256</v>
      </c>
      <c r="O11" s="5">
        <v>257</v>
      </c>
      <c r="P11" s="5">
        <v>258</v>
      </c>
      <c r="Q11" s="5">
        <v>259</v>
      </c>
      <c r="R11" s="5">
        <v>260</v>
      </c>
      <c r="S11" s="5">
        <v>261</v>
      </c>
      <c r="T11" s="5">
        <v>262</v>
      </c>
      <c r="U11" s="5">
        <v>263</v>
      </c>
      <c r="V11" s="5">
        <v>264</v>
      </c>
      <c r="W11" s="5">
        <v>265</v>
      </c>
      <c r="X11" s="5">
        <v>266</v>
      </c>
      <c r="Y11" s="5">
        <v>267</v>
      </c>
      <c r="Z11" s="5">
        <v>268</v>
      </c>
      <c r="AA11" s="5">
        <v>269</v>
      </c>
      <c r="AB11" s="5">
        <v>270</v>
      </c>
      <c r="AC11" s="5">
        <v>271</v>
      </c>
      <c r="AD11" s="5">
        <v>272</v>
      </c>
      <c r="AE11" s="5">
        <v>273</v>
      </c>
      <c r="AF11" s="5"/>
    </row>
    <row r="12" spans="1:32" ht="12.75">
      <c r="A12" s="4" t="s">
        <v>9</v>
      </c>
      <c r="B12" s="5">
        <v>274</v>
      </c>
      <c r="C12" s="5">
        <v>275</v>
      </c>
      <c r="D12" s="5">
        <v>276</v>
      </c>
      <c r="E12" s="5">
        <v>277</v>
      </c>
      <c r="F12" s="5">
        <v>278</v>
      </c>
      <c r="G12" s="5">
        <v>279</v>
      </c>
      <c r="H12" s="5">
        <v>280</v>
      </c>
      <c r="I12" s="5">
        <v>281</v>
      </c>
      <c r="J12" s="5">
        <v>282</v>
      </c>
      <c r="K12" s="5">
        <v>283</v>
      </c>
      <c r="L12" s="5">
        <v>284</v>
      </c>
      <c r="M12" s="5">
        <v>285</v>
      </c>
      <c r="N12" s="5">
        <v>286</v>
      </c>
      <c r="O12" s="5">
        <v>287</v>
      </c>
      <c r="P12" s="5">
        <v>288</v>
      </c>
      <c r="Q12" s="5">
        <v>289</v>
      </c>
      <c r="R12" s="5">
        <v>290</v>
      </c>
      <c r="S12" s="5">
        <v>291</v>
      </c>
      <c r="T12" s="5">
        <v>292</v>
      </c>
      <c r="U12" s="5">
        <v>293</v>
      </c>
      <c r="V12" s="5">
        <v>294</v>
      </c>
      <c r="W12" s="5">
        <v>295</v>
      </c>
      <c r="X12" s="5">
        <v>296</v>
      </c>
      <c r="Y12" s="5">
        <v>297</v>
      </c>
      <c r="Z12" s="5">
        <v>298</v>
      </c>
      <c r="AA12" s="5">
        <v>299</v>
      </c>
      <c r="AB12" s="5">
        <v>300</v>
      </c>
      <c r="AC12" s="5">
        <v>301</v>
      </c>
      <c r="AD12" s="5">
        <v>302</v>
      </c>
      <c r="AE12" s="5">
        <v>303</v>
      </c>
      <c r="AF12" s="5">
        <v>304</v>
      </c>
    </row>
    <row r="13" spans="1:32" ht="12.75">
      <c r="A13" s="4" t="s">
        <v>10</v>
      </c>
      <c r="B13" s="5">
        <v>305</v>
      </c>
      <c r="C13" s="5">
        <v>306</v>
      </c>
      <c r="D13" s="5">
        <v>307</v>
      </c>
      <c r="E13" s="5">
        <v>308</v>
      </c>
      <c r="F13" s="5">
        <v>309</v>
      </c>
      <c r="G13" s="5">
        <v>310</v>
      </c>
      <c r="H13" s="5">
        <v>311</v>
      </c>
      <c r="I13" s="5">
        <v>312</v>
      </c>
      <c r="J13" s="5">
        <v>313</v>
      </c>
      <c r="K13" s="5">
        <v>314</v>
      </c>
      <c r="L13" s="5">
        <v>315</v>
      </c>
      <c r="M13" s="5">
        <v>316</v>
      </c>
      <c r="N13" s="5">
        <v>317</v>
      </c>
      <c r="O13" s="5">
        <v>318</v>
      </c>
      <c r="P13" s="5">
        <v>319</v>
      </c>
      <c r="Q13" s="5">
        <v>320</v>
      </c>
      <c r="R13" s="5">
        <v>321</v>
      </c>
      <c r="S13" s="5">
        <v>322</v>
      </c>
      <c r="T13" s="5">
        <v>323</v>
      </c>
      <c r="U13" s="5">
        <v>324</v>
      </c>
      <c r="V13" s="5">
        <v>325</v>
      </c>
      <c r="W13" s="5">
        <v>326</v>
      </c>
      <c r="X13" s="5">
        <v>327</v>
      </c>
      <c r="Y13" s="5">
        <v>328</v>
      </c>
      <c r="Z13" s="5">
        <v>329</v>
      </c>
      <c r="AA13" s="5">
        <v>330</v>
      </c>
      <c r="AB13" s="5">
        <v>331</v>
      </c>
      <c r="AC13" s="5">
        <v>332</v>
      </c>
      <c r="AD13" s="5">
        <v>333</v>
      </c>
      <c r="AE13" s="5">
        <v>334</v>
      </c>
      <c r="AF13" s="5"/>
    </row>
    <row r="14" spans="1:32" ht="12.75">
      <c r="A14" s="4" t="s">
        <v>11</v>
      </c>
      <c r="B14" s="5">
        <v>335</v>
      </c>
      <c r="C14" s="5">
        <v>336</v>
      </c>
      <c r="D14" s="5">
        <v>337</v>
      </c>
      <c r="E14" s="5">
        <v>338</v>
      </c>
      <c r="F14" s="5">
        <v>339</v>
      </c>
      <c r="G14" s="5">
        <v>340</v>
      </c>
      <c r="H14" s="5">
        <v>341</v>
      </c>
      <c r="I14" s="5">
        <v>342</v>
      </c>
      <c r="J14" s="5">
        <v>343</v>
      </c>
      <c r="K14" s="5">
        <v>344</v>
      </c>
      <c r="L14" s="5">
        <v>345</v>
      </c>
      <c r="M14" s="5">
        <v>346</v>
      </c>
      <c r="N14" s="5">
        <v>347</v>
      </c>
      <c r="O14" s="5">
        <v>348</v>
      </c>
      <c r="P14" s="5">
        <v>349</v>
      </c>
      <c r="Q14" s="5">
        <v>350</v>
      </c>
      <c r="R14" s="5">
        <v>351</v>
      </c>
      <c r="S14" s="5">
        <v>352</v>
      </c>
      <c r="T14" s="5">
        <v>353</v>
      </c>
      <c r="U14" s="5">
        <v>354</v>
      </c>
      <c r="V14" s="5">
        <v>355</v>
      </c>
      <c r="W14" s="5">
        <v>356</v>
      </c>
      <c r="X14" s="5">
        <v>357</v>
      </c>
      <c r="Y14" s="5">
        <v>358</v>
      </c>
      <c r="Z14" s="5">
        <v>359</v>
      </c>
      <c r="AA14" s="5">
        <v>360</v>
      </c>
      <c r="AB14" s="5">
        <v>361</v>
      </c>
      <c r="AC14" s="5">
        <v>362</v>
      </c>
      <c r="AD14" s="5">
        <v>363</v>
      </c>
      <c r="AE14" s="5">
        <v>364</v>
      </c>
      <c r="AF14" s="5">
        <v>365</v>
      </c>
    </row>
    <row r="16" spans="1:2" ht="12.75">
      <c r="A16" s="6">
        <v>1</v>
      </c>
      <c r="B16" s="69" t="s">
        <v>0</v>
      </c>
    </row>
    <row r="17" spans="1:2" ht="12.75">
      <c r="A17" s="6">
        <v>2</v>
      </c>
      <c r="B17" s="69"/>
    </row>
    <row r="18" spans="1:2" ht="12.75">
      <c r="A18" s="6">
        <v>3</v>
      </c>
      <c r="B18" s="69"/>
    </row>
    <row r="19" spans="1:2" ht="12.75">
      <c r="A19" s="6">
        <v>4</v>
      </c>
      <c r="B19" s="69"/>
    </row>
    <row r="20" spans="1:2" ht="12.75">
      <c r="A20" s="6">
        <v>5</v>
      </c>
      <c r="B20" s="69"/>
    </row>
    <row r="21" spans="1:2" ht="12.75">
      <c r="A21" s="6">
        <v>6</v>
      </c>
      <c r="B21" s="69"/>
    </row>
    <row r="22" spans="1:2" ht="12.75">
      <c r="A22" s="6">
        <v>7</v>
      </c>
      <c r="B22" s="69"/>
    </row>
    <row r="23" spans="1:2" ht="12.75">
      <c r="A23" s="6">
        <v>8</v>
      </c>
      <c r="B23" s="69"/>
    </row>
    <row r="24" spans="1:2" ht="12.75">
      <c r="A24" s="6">
        <v>9</v>
      </c>
      <c r="B24" s="69"/>
    </row>
    <row r="25" spans="1:2" ht="12.75">
      <c r="A25" s="6">
        <v>10</v>
      </c>
      <c r="B25" s="69"/>
    </row>
    <row r="26" spans="1:2" ht="12.75">
      <c r="A26" s="6">
        <v>11</v>
      </c>
      <c r="B26" s="69"/>
    </row>
    <row r="27" spans="1:2" ht="12.75">
      <c r="A27" s="6">
        <v>12</v>
      </c>
      <c r="B27" s="69"/>
    </row>
    <row r="28" spans="1:2" ht="12.75">
      <c r="A28" s="6">
        <v>13</v>
      </c>
      <c r="B28" s="69"/>
    </row>
    <row r="29" spans="1:2" ht="12.75">
      <c r="A29" s="6">
        <v>14</v>
      </c>
      <c r="B29" s="69"/>
    </row>
    <row r="30" spans="1:2" ht="12.75">
      <c r="A30" s="6">
        <v>15</v>
      </c>
      <c r="B30" s="69"/>
    </row>
    <row r="31" spans="1:2" ht="12.75">
      <c r="A31" s="6">
        <v>16</v>
      </c>
      <c r="B31" s="69"/>
    </row>
    <row r="32" spans="1:2" ht="12.75">
      <c r="A32" s="6">
        <v>17</v>
      </c>
      <c r="B32" s="69"/>
    </row>
    <row r="33" spans="1:2" ht="12.75">
      <c r="A33" s="6">
        <v>18</v>
      </c>
      <c r="B33" s="69"/>
    </row>
    <row r="34" spans="1:2" ht="12.75">
      <c r="A34" s="6">
        <v>19</v>
      </c>
      <c r="B34" s="69"/>
    </row>
    <row r="35" spans="1:2" ht="12.75">
      <c r="A35" s="6">
        <v>20</v>
      </c>
      <c r="B35" s="69"/>
    </row>
    <row r="36" spans="1:2" ht="12.75">
      <c r="A36" s="6">
        <v>21</v>
      </c>
      <c r="B36" s="69"/>
    </row>
    <row r="37" spans="1:2" ht="12.75">
      <c r="A37" s="6">
        <v>22</v>
      </c>
      <c r="B37" s="69"/>
    </row>
    <row r="38" spans="1:2" ht="12.75">
      <c r="A38" s="6">
        <v>23</v>
      </c>
      <c r="B38" s="69"/>
    </row>
    <row r="39" spans="1:2" ht="12.75">
      <c r="A39" s="6">
        <v>24</v>
      </c>
      <c r="B39" s="69"/>
    </row>
    <row r="40" spans="1:2" ht="12.75">
      <c r="A40" s="6">
        <v>25</v>
      </c>
      <c r="B40" s="69"/>
    </row>
    <row r="41" spans="1:2" ht="12.75">
      <c r="A41" s="6">
        <v>26</v>
      </c>
      <c r="B41" s="69"/>
    </row>
    <row r="42" spans="1:2" ht="12.75">
      <c r="A42" s="6">
        <v>27</v>
      </c>
      <c r="B42" s="69"/>
    </row>
    <row r="43" spans="1:2" ht="12.75">
      <c r="A43" s="6">
        <v>28</v>
      </c>
      <c r="B43" s="69"/>
    </row>
    <row r="44" spans="1:2" ht="12.75">
      <c r="A44" s="6">
        <v>29</v>
      </c>
      <c r="B44" s="69"/>
    </row>
    <row r="45" spans="1:2" ht="12.75">
      <c r="A45" s="6">
        <v>30</v>
      </c>
      <c r="B45" s="69"/>
    </row>
    <row r="46" spans="1:2" ht="12.75">
      <c r="A46" s="6">
        <v>31</v>
      </c>
      <c r="B46" s="69"/>
    </row>
    <row r="47" spans="1:2" ht="12.75">
      <c r="A47" s="7">
        <v>32</v>
      </c>
      <c r="B47" s="66" t="s">
        <v>1</v>
      </c>
    </row>
    <row r="48" spans="1:2" ht="12.75">
      <c r="A48" s="5">
        <v>33</v>
      </c>
      <c r="B48" s="67"/>
    </row>
    <row r="49" spans="1:2" ht="12.75">
      <c r="A49" s="5">
        <v>34</v>
      </c>
      <c r="B49" s="67"/>
    </row>
    <row r="50" spans="1:2" ht="12.75">
      <c r="A50" s="5">
        <v>35</v>
      </c>
      <c r="B50" s="67"/>
    </row>
    <row r="51" spans="1:2" ht="12.75">
      <c r="A51" s="5">
        <v>36</v>
      </c>
      <c r="B51" s="67"/>
    </row>
    <row r="52" spans="1:2" ht="12.75">
      <c r="A52" s="5">
        <v>37</v>
      </c>
      <c r="B52" s="67"/>
    </row>
    <row r="53" spans="1:2" ht="12.75">
      <c r="A53" s="5">
        <v>38</v>
      </c>
      <c r="B53" s="67"/>
    </row>
    <row r="54" spans="1:2" ht="12.75">
      <c r="A54" s="5">
        <v>39</v>
      </c>
      <c r="B54" s="67"/>
    </row>
    <row r="55" spans="1:2" ht="12.75">
      <c r="A55" s="5">
        <v>40</v>
      </c>
      <c r="B55" s="67"/>
    </row>
    <row r="56" spans="1:2" ht="12.75">
      <c r="A56" s="5">
        <v>41</v>
      </c>
      <c r="B56" s="67"/>
    </row>
    <row r="57" spans="1:2" ht="12.75">
      <c r="A57" s="5">
        <v>42</v>
      </c>
      <c r="B57" s="67"/>
    </row>
    <row r="58" spans="1:2" ht="12.75">
      <c r="A58" s="5">
        <v>43</v>
      </c>
      <c r="B58" s="67"/>
    </row>
    <row r="59" spans="1:2" ht="12.75">
      <c r="A59" s="5">
        <v>44</v>
      </c>
      <c r="B59" s="67"/>
    </row>
    <row r="60" spans="1:2" ht="12.75">
      <c r="A60" s="5">
        <v>45</v>
      </c>
      <c r="B60" s="67"/>
    </row>
    <row r="61" spans="1:2" ht="12.75">
      <c r="A61" s="5">
        <v>46</v>
      </c>
      <c r="B61" s="67"/>
    </row>
    <row r="62" spans="1:2" ht="12.75">
      <c r="A62" s="5">
        <v>47</v>
      </c>
      <c r="B62" s="67"/>
    </row>
    <row r="63" spans="1:2" ht="12.75">
      <c r="A63" s="5">
        <v>48</v>
      </c>
      <c r="B63" s="67"/>
    </row>
    <row r="64" spans="1:2" ht="12.75">
      <c r="A64" s="5">
        <v>49</v>
      </c>
      <c r="B64" s="67"/>
    </row>
    <row r="65" spans="1:2" ht="12.75">
      <c r="A65" s="5">
        <v>50</v>
      </c>
      <c r="B65" s="67"/>
    </row>
    <row r="66" spans="1:2" ht="12.75">
      <c r="A66" s="5">
        <v>51</v>
      </c>
      <c r="B66" s="67"/>
    </row>
    <row r="67" spans="1:2" ht="12.75">
      <c r="A67" s="5">
        <v>52</v>
      </c>
      <c r="B67" s="67"/>
    </row>
    <row r="68" spans="1:2" ht="12.75">
      <c r="A68" s="5">
        <v>53</v>
      </c>
      <c r="B68" s="67"/>
    </row>
    <row r="69" spans="1:2" ht="12.75">
      <c r="A69" s="5">
        <v>54</v>
      </c>
      <c r="B69" s="67"/>
    </row>
    <row r="70" spans="1:2" ht="12.75">
      <c r="A70" s="5">
        <v>55</v>
      </c>
      <c r="B70" s="67"/>
    </row>
    <row r="71" spans="1:2" ht="12.75">
      <c r="A71" s="5">
        <v>56</v>
      </c>
      <c r="B71" s="67"/>
    </row>
    <row r="72" spans="1:2" ht="12.75">
      <c r="A72" s="5">
        <v>57</v>
      </c>
      <c r="B72" s="67"/>
    </row>
    <row r="73" spans="1:2" ht="12.75">
      <c r="A73" s="5">
        <v>58</v>
      </c>
      <c r="B73" s="67"/>
    </row>
    <row r="74" spans="1:2" ht="12.75">
      <c r="A74" s="5">
        <v>59</v>
      </c>
      <c r="B74" s="67"/>
    </row>
    <row r="75" spans="1:2" ht="12.75">
      <c r="A75" s="5">
        <v>60</v>
      </c>
      <c r="B75" s="68"/>
    </row>
    <row r="76" spans="1:2" ht="12.75">
      <c r="A76" s="5">
        <v>60</v>
      </c>
      <c r="B76" s="66" t="s">
        <v>2</v>
      </c>
    </row>
    <row r="77" spans="1:2" ht="12.75">
      <c r="A77" s="5">
        <v>61</v>
      </c>
      <c r="B77" s="67"/>
    </row>
    <row r="78" spans="1:2" ht="12.75">
      <c r="A78" s="5">
        <v>62</v>
      </c>
      <c r="B78" s="67"/>
    </row>
    <row r="79" spans="1:2" ht="12.75">
      <c r="A79" s="5">
        <v>63</v>
      </c>
      <c r="B79" s="67"/>
    </row>
    <row r="80" spans="1:2" ht="12.75">
      <c r="A80" s="5">
        <v>64</v>
      </c>
      <c r="B80" s="67"/>
    </row>
    <row r="81" spans="1:2" ht="12.75">
      <c r="A81" s="5">
        <v>65</v>
      </c>
      <c r="B81" s="67"/>
    </row>
    <row r="82" spans="1:2" ht="12.75">
      <c r="A82" s="5">
        <v>66</v>
      </c>
      <c r="B82" s="67"/>
    </row>
    <row r="83" spans="1:2" ht="12.75">
      <c r="A83" s="5">
        <v>67</v>
      </c>
      <c r="B83" s="67"/>
    </row>
    <row r="84" spans="1:2" ht="12.75">
      <c r="A84" s="5">
        <v>68</v>
      </c>
      <c r="B84" s="67"/>
    </row>
    <row r="85" spans="1:2" ht="12.75">
      <c r="A85" s="5">
        <v>69</v>
      </c>
      <c r="B85" s="67"/>
    </row>
    <row r="86" spans="1:2" ht="12.75">
      <c r="A86" s="5">
        <v>70</v>
      </c>
      <c r="B86" s="67"/>
    </row>
    <row r="87" spans="1:2" ht="12.75">
      <c r="A87" s="5">
        <v>71</v>
      </c>
      <c r="B87" s="67"/>
    </row>
    <row r="88" spans="1:2" ht="12.75">
      <c r="A88" s="5">
        <v>72</v>
      </c>
      <c r="B88" s="67"/>
    </row>
    <row r="89" spans="1:2" ht="12.75">
      <c r="A89" s="5">
        <v>73</v>
      </c>
      <c r="B89" s="67"/>
    </row>
    <row r="90" spans="1:2" ht="12.75">
      <c r="A90" s="5">
        <v>74</v>
      </c>
      <c r="B90" s="67"/>
    </row>
    <row r="91" spans="1:2" ht="12.75">
      <c r="A91" s="5">
        <v>75</v>
      </c>
      <c r="B91" s="67"/>
    </row>
    <row r="92" spans="1:2" ht="12.75">
      <c r="A92" s="5">
        <v>76</v>
      </c>
      <c r="B92" s="67"/>
    </row>
    <row r="93" spans="1:2" ht="12.75">
      <c r="A93" s="5">
        <v>77</v>
      </c>
      <c r="B93" s="67"/>
    </row>
    <row r="94" spans="1:2" ht="12.75">
      <c r="A94" s="5">
        <v>78</v>
      </c>
      <c r="B94" s="67"/>
    </row>
    <row r="95" spans="1:2" ht="12.75">
      <c r="A95" s="5">
        <v>79</v>
      </c>
      <c r="B95" s="67"/>
    </row>
    <row r="96" spans="1:2" ht="12.75">
      <c r="A96" s="5">
        <v>80</v>
      </c>
      <c r="B96" s="67"/>
    </row>
    <row r="97" spans="1:2" ht="12.75">
      <c r="A97" s="5">
        <v>81</v>
      </c>
      <c r="B97" s="67"/>
    </row>
    <row r="98" spans="1:2" ht="12.75">
      <c r="A98" s="5">
        <v>82</v>
      </c>
      <c r="B98" s="67"/>
    </row>
    <row r="99" spans="1:2" ht="12.75">
      <c r="A99" s="5">
        <v>83</v>
      </c>
      <c r="B99" s="67"/>
    </row>
    <row r="100" spans="1:2" ht="12.75">
      <c r="A100" s="5">
        <v>84</v>
      </c>
      <c r="B100" s="67"/>
    </row>
    <row r="101" spans="1:2" ht="12.75">
      <c r="A101" s="5">
        <v>85</v>
      </c>
      <c r="B101" s="67"/>
    </row>
    <row r="102" spans="1:2" ht="12.75">
      <c r="A102" s="5">
        <v>86</v>
      </c>
      <c r="B102" s="67"/>
    </row>
    <row r="103" spans="1:2" ht="12.75">
      <c r="A103" s="5">
        <v>87</v>
      </c>
      <c r="B103" s="67"/>
    </row>
    <row r="104" spans="1:2" ht="12.75">
      <c r="A104" s="5">
        <v>88</v>
      </c>
      <c r="B104" s="67"/>
    </row>
    <row r="105" spans="1:2" ht="12.75">
      <c r="A105" s="5">
        <v>89</v>
      </c>
      <c r="B105" s="67"/>
    </row>
    <row r="106" spans="1:2" ht="12.75">
      <c r="A106" s="5">
        <v>90</v>
      </c>
      <c r="B106" s="68"/>
    </row>
    <row r="107" spans="1:2" ht="12.75">
      <c r="A107" s="5">
        <v>91</v>
      </c>
      <c r="B107" s="69" t="s">
        <v>3</v>
      </c>
    </row>
    <row r="108" spans="1:2" ht="12.75">
      <c r="A108" s="5">
        <v>92</v>
      </c>
      <c r="B108" s="69"/>
    </row>
    <row r="109" spans="1:2" ht="12.75">
      <c r="A109" s="5">
        <v>93</v>
      </c>
      <c r="B109" s="69"/>
    </row>
    <row r="110" spans="1:2" ht="12.75">
      <c r="A110" s="5">
        <v>94</v>
      </c>
      <c r="B110" s="69"/>
    </row>
    <row r="111" spans="1:2" ht="12.75">
      <c r="A111" s="5">
        <v>95</v>
      </c>
      <c r="B111" s="69"/>
    </row>
    <row r="112" spans="1:2" ht="12.75">
      <c r="A112" s="5">
        <v>96</v>
      </c>
      <c r="B112" s="69"/>
    </row>
    <row r="113" spans="1:2" ht="12.75">
      <c r="A113" s="5">
        <v>97</v>
      </c>
      <c r="B113" s="69"/>
    </row>
    <row r="114" spans="1:2" ht="12.75">
      <c r="A114" s="5">
        <v>98</v>
      </c>
      <c r="B114" s="69"/>
    </row>
    <row r="115" spans="1:2" ht="12.75">
      <c r="A115" s="5">
        <v>99</v>
      </c>
      <c r="B115" s="69"/>
    </row>
    <row r="116" spans="1:2" ht="12.75">
      <c r="A116" s="5">
        <v>100</v>
      </c>
      <c r="B116" s="69"/>
    </row>
    <row r="117" spans="1:2" ht="12.75">
      <c r="A117" s="5">
        <v>101</v>
      </c>
      <c r="B117" s="69"/>
    </row>
    <row r="118" spans="1:2" ht="12.75">
      <c r="A118" s="5">
        <v>102</v>
      </c>
      <c r="B118" s="69"/>
    </row>
    <row r="119" spans="1:2" ht="12.75">
      <c r="A119" s="5">
        <v>103</v>
      </c>
      <c r="B119" s="69"/>
    </row>
    <row r="120" spans="1:2" ht="12.75">
      <c r="A120" s="5">
        <v>104</v>
      </c>
      <c r="B120" s="69"/>
    </row>
    <row r="121" spans="1:2" ht="12.75">
      <c r="A121" s="5">
        <v>105</v>
      </c>
      <c r="B121" s="69"/>
    </row>
    <row r="122" spans="1:2" ht="12.75">
      <c r="A122" s="5">
        <v>106</v>
      </c>
      <c r="B122" s="69"/>
    </row>
    <row r="123" spans="1:2" ht="12.75">
      <c r="A123" s="5">
        <v>107</v>
      </c>
      <c r="B123" s="69"/>
    </row>
    <row r="124" spans="1:2" ht="12.75">
      <c r="A124" s="5">
        <v>108</v>
      </c>
      <c r="B124" s="69"/>
    </row>
    <row r="125" spans="1:2" ht="12.75">
      <c r="A125" s="5">
        <v>109</v>
      </c>
      <c r="B125" s="69"/>
    </row>
    <row r="126" spans="1:2" ht="12.75">
      <c r="A126" s="5">
        <v>110</v>
      </c>
      <c r="B126" s="69"/>
    </row>
    <row r="127" spans="1:2" ht="12.75">
      <c r="A127" s="5">
        <v>111</v>
      </c>
      <c r="B127" s="69"/>
    </row>
    <row r="128" spans="1:2" ht="12.75">
      <c r="A128" s="5">
        <v>112</v>
      </c>
      <c r="B128" s="69"/>
    </row>
    <row r="129" spans="1:2" ht="12.75">
      <c r="A129" s="5">
        <v>113</v>
      </c>
      <c r="B129" s="69"/>
    </row>
    <row r="130" spans="1:2" ht="12.75">
      <c r="A130" s="5">
        <v>114</v>
      </c>
      <c r="B130" s="69"/>
    </row>
    <row r="131" spans="1:2" ht="12.75">
      <c r="A131" s="5">
        <v>115</v>
      </c>
      <c r="B131" s="69"/>
    </row>
    <row r="132" spans="1:2" ht="12.75">
      <c r="A132" s="5">
        <v>116</v>
      </c>
      <c r="B132" s="69"/>
    </row>
    <row r="133" spans="1:2" ht="12.75">
      <c r="A133" s="5">
        <v>117</v>
      </c>
      <c r="B133" s="69"/>
    </row>
    <row r="134" spans="1:2" ht="12.75">
      <c r="A134" s="5">
        <v>118</v>
      </c>
      <c r="B134" s="69"/>
    </row>
    <row r="135" spans="1:2" ht="12.75">
      <c r="A135" s="5">
        <v>119</v>
      </c>
      <c r="B135" s="69"/>
    </row>
    <row r="136" spans="1:2" ht="12.75">
      <c r="A136" s="5">
        <v>120</v>
      </c>
      <c r="B136" s="69"/>
    </row>
    <row r="137" spans="1:2" ht="12.75">
      <c r="A137" s="5">
        <v>121</v>
      </c>
      <c r="B137" s="66" t="s">
        <v>4</v>
      </c>
    </row>
    <row r="138" spans="1:2" ht="12.75">
      <c r="A138" s="5">
        <v>122</v>
      </c>
      <c r="B138" s="67"/>
    </row>
    <row r="139" spans="1:2" ht="12.75">
      <c r="A139" s="5">
        <v>123</v>
      </c>
      <c r="B139" s="67"/>
    </row>
    <row r="140" spans="1:2" ht="12.75">
      <c r="A140" s="5">
        <v>124</v>
      </c>
      <c r="B140" s="67"/>
    </row>
    <row r="141" spans="1:2" ht="12.75">
      <c r="A141" s="5">
        <v>125</v>
      </c>
      <c r="B141" s="67"/>
    </row>
    <row r="142" spans="1:2" ht="12.75">
      <c r="A142" s="5">
        <v>126</v>
      </c>
      <c r="B142" s="67"/>
    </row>
    <row r="143" spans="1:2" ht="12.75">
      <c r="A143" s="5">
        <v>127</v>
      </c>
      <c r="B143" s="67"/>
    </row>
    <row r="144" spans="1:2" ht="12.75">
      <c r="A144" s="5">
        <v>128</v>
      </c>
      <c r="B144" s="67"/>
    </row>
    <row r="145" spans="1:2" ht="12.75">
      <c r="A145" s="5">
        <v>129</v>
      </c>
      <c r="B145" s="67"/>
    </row>
    <row r="146" spans="1:2" ht="12.75">
      <c r="A146" s="5">
        <v>130</v>
      </c>
      <c r="B146" s="67"/>
    </row>
    <row r="147" spans="1:2" ht="12.75">
      <c r="A147" s="5">
        <v>131</v>
      </c>
      <c r="B147" s="67"/>
    </row>
    <row r="148" spans="1:2" ht="12.75">
      <c r="A148" s="5">
        <v>132</v>
      </c>
      <c r="B148" s="67"/>
    </row>
    <row r="149" spans="1:2" ht="12.75">
      <c r="A149" s="5">
        <v>133</v>
      </c>
      <c r="B149" s="67"/>
    </row>
    <row r="150" spans="1:2" ht="12.75">
      <c r="A150" s="5">
        <v>134</v>
      </c>
      <c r="B150" s="67"/>
    </row>
    <row r="151" spans="1:2" ht="12.75">
      <c r="A151" s="5">
        <v>135</v>
      </c>
      <c r="B151" s="67"/>
    </row>
    <row r="152" spans="1:2" ht="12.75">
      <c r="A152" s="5">
        <v>136</v>
      </c>
      <c r="B152" s="67"/>
    </row>
    <row r="153" spans="1:2" ht="12.75">
      <c r="A153" s="5">
        <v>137</v>
      </c>
      <c r="B153" s="67"/>
    </row>
    <row r="154" spans="1:2" ht="12.75">
      <c r="A154" s="5">
        <v>138</v>
      </c>
      <c r="B154" s="67"/>
    </row>
    <row r="155" spans="1:2" ht="12.75">
      <c r="A155" s="5">
        <v>139</v>
      </c>
      <c r="B155" s="67"/>
    </row>
    <row r="156" spans="1:2" ht="12.75">
      <c r="A156" s="5">
        <v>140</v>
      </c>
      <c r="B156" s="67"/>
    </row>
    <row r="157" spans="1:2" ht="12.75">
      <c r="A157" s="5">
        <v>141</v>
      </c>
      <c r="B157" s="67"/>
    </row>
    <row r="158" spans="1:2" ht="12.75">
      <c r="A158" s="5">
        <v>142</v>
      </c>
      <c r="B158" s="67"/>
    </row>
    <row r="159" spans="1:2" ht="12.75">
      <c r="A159" s="5">
        <v>143</v>
      </c>
      <c r="B159" s="67"/>
    </row>
    <row r="160" spans="1:2" ht="12.75">
      <c r="A160" s="5">
        <v>144</v>
      </c>
      <c r="B160" s="67"/>
    </row>
    <row r="161" spans="1:2" ht="12.75">
      <c r="A161" s="5">
        <v>145</v>
      </c>
      <c r="B161" s="67"/>
    </row>
    <row r="162" spans="1:2" ht="12.75">
      <c r="A162" s="5">
        <v>146</v>
      </c>
      <c r="B162" s="67"/>
    </row>
    <row r="163" spans="1:2" ht="12.75">
      <c r="A163" s="5">
        <v>147</v>
      </c>
      <c r="B163" s="67"/>
    </row>
    <row r="164" spans="1:2" ht="12.75">
      <c r="A164" s="5">
        <v>148</v>
      </c>
      <c r="B164" s="67"/>
    </row>
    <row r="165" spans="1:2" ht="12.75">
      <c r="A165" s="5">
        <v>149</v>
      </c>
      <c r="B165" s="67"/>
    </row>
    <row r="166" spans="1:2" ht="12.75">
      <c r="A166" s="5">
        <v>150</v>
      </c>
      <c r="B166" s="67"/>
    </row>
    <row r="167" spans="1:2" ht="12.75">
      <c r="A167" s="5">
        <v>151</v>
      </c>
      <c r="B167" s="68"/>
    </row>
    <row r="168" spans="1:2" ht="12.75">
      <c r="A168" s="5">
        <v>152</v>
      </c>
      <c r="B168" s="66" t="s">
        <v>5</v>
      </c>
    </row>
    <row r="169" spans="1:2" ht="12.75">
      <c r="A169" s="5">
        <v>153</v>
      </c>
      <c r="B169" s="67"/>
    </row>
    <row r="170" spans="1:2" ht="12.75">
      <c r="A170" s="5">
        <v>154</v>
      </c>
      <c r="B170" s="67"/>
    </row>
    <row r="171" spans="1:2" ht="12.75">
      <c r="A171" s="5">
        <v>155</v>
      </c>
      <c r="B171" s="67"/>
    </row>
    <row r="172" spans="1:2" ht="12.75">
      <c r="A172" s="5">
        <v>156</v>
      </c>
      <c r="B172" s="67"/>
    </row>
    <row r="173" spans="1:2" ht="12.75">
      <c r="A173" s="5">
        <v>157</v>
      </c>
      <c r="B173" s="67"/>
    </row>
    <row r="174" spans="1:2" ht="12.75">
      <c r="A174" s="5">
        <v>158</v>
      </c>
      <c r="B174" s="67"/>
    </row>
    <row r="175" spans="1:2" ht="12.75">
      <c r="A175" s="5">
        <v>159</v>
      </c>
      <c r="B175" s="67"/>
    </row>
    <row r="176" spans="1:2" ht="12.75">
      <c r="A176" s="5">
        <v>160</v>
      </c>
      <c r="B176" s="67"/>
    </row>
    <row r="177" spans="1:2" ht="12.75">
      <c r="A177" s="5">
        <v>161</v>
      </c>
      <c r="B177" s="67"/>
    </row>
    <row r="178" spans="1:2" ht="12.75">
      <c r="A178" s="5">
        <v>162</v>
      </c>
      <c r="B178" s="67"/>
    </row>
    <row r="179" spans="1:2" ht="12.75">
      <c r="A179" s="5">
        <v>163</v>
      </c>
      <c r="B179" s="67"/>
    </row>
    <row r="180" spans="1:2" ht="12.75">
      <c r="A180" s="5">
        <v>164</v>
      </c>
      <c r="B180" s="67"/>
    </row>
    <row r="181" spans="1:2" ht="12.75">
      <c r="A181" s="5">
        <v>165</v>
      </c>
      <c r="B181" s="67"/>
    </row>
    <row r="182" spans="1:2" ht="12.75">
      <c r="A182" s="5">
        <v>166</v>
      </c>
      <c r="B182" s="67"/>
    </row>
    <row r="183" spans="1:2" ht="12.75">
      <c r="A183" s="5">
        <v>167</v>
      </c>
      <c r="B183" s="67"/>
    </row>
    <row r="184" spans="1:2" ht="12.75">
      <c r="A184" s="5">
        <v>168</v>
      </c>
      <c r="B184" s="67"/>
    </row>
    <row r="185" spans="1:2" ht="12.75">
      <c r="A185" s="5">
        <v>169</v>
      </c>
      <c r="B185" s="67"/>
    </row>
    <row r="186" spans="1:2" ht="12.75">
      <c r="A186" s="5">
        <v>170</v>
      </c>
      <c r="B186" s="67"/>
    </row>
    <row r="187" spans="1:2" ht="12.75">
      <c r="A187" s="5">
        <v>171</v>
      </c>
      <c r="B187" s="67"/>
    </row>
    <row r="188" spans="1:2" ht="12.75">
      <c r="A188" s="5">
        <v>172</v>
      </c>
      <c r="B188" s="67"/>
    </row>
    <row r="189" spans="1:2" ht="12.75">
      <c r="A189" s="5">
        <v>173</v>
      </c>
      <c r="B189" s="67"/>
    </row>
    <row r="190" spans="1:2" ht="12.75">
      <c r="A190" s="5">
        <v>174</v>
      </c>
      <c r="B190" s="67"/>
    </row>
    <row r="191" spans="1:2" ht="12.75">
      <c r="A191" s="5">
        <v>175</v>
      </c>
      <c r="B191" s="67"/>
    </row>
    <row r="192" spans="1:2" ht="12.75">
      <c r="A192" s="5">
        <v>176</v>
      </c>
      <c r="B192" s="67"/>
    </row>
    <row r="193" spans="1:2" ht="12.75">
      <c r="A193" s="5">
        <v>177</v>
      </c>
      <c r="B193" s="67"/>
    </row>
    <row r="194" spans="1:2" ht="12.75">
      <c r="A194" s="5">
        <v>178</v>
      </c>
      <c r="B194" s="67"/>
    </row>
    <row r="195" spans="1:2" ht="12.75">
      <c r="A195" s="5">
        <v>179</v>
      </c>
      <c r="B195" s="67"/>
    </row>
    <row r="196" spans="1:2" ht="12.75">
      <c r="A196" s="5">
        <v>180</v>
      </c>
      <c r="B196" s="67"/>
    </row>
    <row r="197" spans="1:2" ht="12.75">
      <c r="A197" s="5">
        <v>181</v>
      </c>
      <c r="B197" s="68"/>
    </row>
    <row r="198" spans="1:2" ht="12.75">
      <c r="A198" s="5">
        <v>182</v>
      </c>
      <c r="B198" s="66" t="s">
        <v>6</v>
      </c>
    </row>
    <row r="199" spans="1:2" ht="12.75">
      <c r="A199" s="5">
        <v>183</v>
      </c>
      <c r="B199" s="67"/>
    </row>
    <row r="200" spans="1:2" ht="12.75">
      <c r="A200" s="5">
        <v>184</v>
      </c>
      <c r="B200" s="67"/>
    </row>
    <row r="201" spans="1:2" ht="12.75">
      <c r="A201" s="5">
        <v>185</v>
      </c>
      <c r="B201" s="67"/>
    </row>
    <row r="202" spans="1:2" ht="12.75">
      <c r="A202" s="5">
        <v>186</v>
      </c>
      <c r="B202" s="67"/>
    </row>
    <row r="203" spans="1:2" ht="12.75">
      <c r="A203" s="5">
        <v>187</v>
      </c>
      <c r="B203" s="67"/>
    </row>
    <row r="204" spans="1:2" ht="12.75">
      <c r="A204" s="5">
        <v>188</v>
      </c>
      <c r="B204" s="67"/>
    </row>
    <row r="205" spans="1:2" ht="12.75">
      <c r="A205" s="5">
        <v>189</v>
      </c>
      <c r="B205" s="67"/>
    </row>
    <row r="206" spans="1:2" ht="12.75">
      <c r="A206" s="5">
        <v>190</v>
      </c>
      <c r="B206" s="67"/>
    </row>
    <row r="207" spans="1:2" ht="12.75">
      <c r="A207" s="5">
        <v>191</v>
      </c>
      <c r="B207" s="67"/>
    </row>
    <row r="208" spans="1:2" ht="12.75">
      <c r="A208" s="5">
        <v>192</v>
      </c>
      <c r="B208" s="67"/>
    </row>
    <row r="209" spans="1:2" ht="12.75">
      <c r="A209" s="5">
        <v>193</v>
      </c>
      <c r="B209" s="67"/>
    </row>
    <row r="210" spans="1:2" ht="12.75">
      <c r="A210" s="5">
        <v>194</v>
      </c>
      <c r="B210" s="67"/>
    </row>
    <row r="211" spans="1:2" ht="12.75">
      <c r="A211" s="5">
        <v>195</v>
      </c>
      <c r="B211" s="67"/>
    </row>
    <row r="212" spans="1:2" ht="12.75">
      <c r="A212" s="5">
        <v>196</v>
      </c>
      <c r="B212" s="67"/>
    </row>
    <row r="213" spans="1:2" ht="12.75">
      <c r="A213" s="5">
        <v>197</v>
      </c>
      <c r="B213" s="67"/>
    </row>
    <row r="214" spans="1:2" ht="12.75">
      <c r="A214" s="5">
        <v>198</v>
      </c>
      <c r="B214" s="67"/>
    </row>
    <row r="215" spans="1:2" ht="12.75">
      <c r="A215" s="5">
        <v>199</v>
      </c>
      <c r="B215" s="67"/>
    </row>
    <row r="216" spans="1:2" ht="12.75">
      <c r="A216" s="5">
        <v>200</v>
      </c>
      <c r="B216" s="67"/>
    </row>
    <row r="217" spans="1:2" ht="12.75">
      <c r="A217" s="5">
        <v>201</v>
      </c>
      <c r="B217" s="67"/>
    </row>
    <row r="218" spans="1:2" ht="12.75">
      <c r="A218" s="5">
        <v>202</v>
      </c>
      <c r="B218" s="67"/>
    </row>
    <row r="219" spans="1:2" ht="12.75">
      <c r="A219" s="5">
        <v>203</v>
      </c>
      <c r="B219" s="67"/>
    </row>
    <row r="220" spans="1:2" ht="12.75">
      <c r="A220" s="5">
        <v>204</v>
      </c>
      <c r="B220" s="67"/>
    </row>
    <row r="221" spans="1:2" ht="12.75">
      <c r="A221" s="5">
        <v>205</v>
      </c>
      <c r="B221" s="67"/>
    </row>
    <row r="222" spans="1:2" ht="12.75">
      <c r="A222" s="5">
        <v>206</v>
      </c>
      <c r="B222" s="67"/>
    </row>
    <row r="223" spans="1:2" ht="12.75">
      <c r="A223" s="5">
        <v>207</v>
      </c>
      <c r="B223" s="67"/>
    </row>
    <row r="224" spans="1:2" ht="12.75">
      <c r="A224" s="5">
        <v>208</v>
      </c>
      <c r="B224" s="67"/>
    </row>
    <row r="225" spans="1:2" ht="12.75">
      <c r="A225" s="5">
        <v>209</v>
      </c>
      <c r="B225" s="67"/>
    </row>
    <row r="226" spans="1:2" ht="12.75">
      <c r="A226" s="5">
        <v>210</v>
      </c>
      <c r="B226" s="67"/>
    </row>
    <row r="227" spans="1:2" ht="12.75">
      <c r="A227" s="5">
        <v>211</v>
      </c>
      <c r="B227" s="67"/>
    </row>
    <row r="228" spans="1:2" ht="12.75">
      <c r="A228" s="5">
        <v>212</v>
      </c>
      <c r="B228" s="68"/>
    </row>
    <row r="229" spans="1:2" ht="12.75">
      <c r="A229" s="5">
        <v>213</v>
      </c>
      <c r="B229" s="66" t="s">
        <v>7</v>
      </c>
    </row>
    <row r="230" spans="1:2" ht="12.75">
      <c r="A230" s="5">
        <v>214</v>
      </c>
      <c r="B230" s="67"/>
    </row>
    <row r="231" spans="1:2" ht="12.75">
      <c r="A231" s="5">
        <v>215</v>
      </c>
      <c r="B231" s="67"/>
    </row>
    <row r="232" spans="1:2" ht="12.75">
      <c r="A232" s="5">
        <v>216</v>
      </c>
      <c r="B232" s="67"/>
    </row>
    <row r="233" spans="1:2" ht="12.75">
      <c r="A233" s="5">
        <v>217</v>
      </c>
      <c r="B233" s="67"/>
    </row>
    <row r="234" spans="1:2" ht="12.75">
      <c r="A234" s="5">
        <v>218</v>
      </c>
      <c r="B234" s="67"/>
    </row>
    <row r="235" spans="1:2" ht="12.75">
      <c r="A235" s="5">
        <v>219</v>
      </c>
      <c r="B235" s="67"/>
    </row>
    <row r="236" spans="1:2" ht="12.75">
      <c r="A236" s="5">
        <v>220</v>
      </c>
      <c r="B236" s="67"/>
    </row>
    <row r="237" spans="1:2" ht="12.75">
      <c r="A237" s="5">
        <v>221</v>
      </c>
      <c r="B237" s="67"/>
    </row>
    <row r="238" spans="1:2" ht="12.75">
      <c r="A238" s="5">
        <v>222</v>
      </c>
      <c r="B238" s="67"/>
    </row>
    <row r="239" spans="1:2" ht="12.75">
      <c r="A239" s="5">
        <v>223</v>
      </c>
      <c r="B239" s="67"/>
    </row>
    <row r="240" spans="1:2" ht="12.75">
      <c r="A240" s="5">
        <v>224</v>
      </c>
      <c r="B240" s="67"/>
    </row>
    <row r="241" spans="1:2" ht="12.75">
      <c r="A241" s="5">
        <v>225</v>
      </c>
      <c r="B241" s="67"/>
    </row>
    <row r="242" spans="1:2" ht="12.75">
      <c r="A242" s="5">
        <v>226</v>
      </c>
      <c r="B242" s="67"/>
    </row>
    <row r="243" spans="1:2" ht="12.75">
      <c r="A243" s="5">
        <v>227</v>
      </c>
      <c r="B243" s="67"/>
    </row>
    <row r="244" spans="1:2" ht="12.75">
      <c r="A244" s="5">
        <v>228</v>
      </c>
      <c r="B244" s="67"/>
    </row>
    <row r="245" spans="1:2" ht="12.75">
      <c r="A245" s="5">
        <v>229</v>
      </c>
      <c r="B245" s="67"/>
    </row>
    <row r="246" spans="1:2" ht="12.75">
      <c r="A246" s="5">
        <v>230</v>
      </c>
      <c r="B246" s="67"/>
    </row>
    <row r="247" spans="1:2" ht="12.75">
      <c r="A247" s="5">
        <v>231</v>
      </c>
      <c r="B247" s="67"/>
    </row>
    <row r="248" spans="1:2" ht="12.75">
      <c r="A248" s="5">
        <v>232</v>
      </c>
      <c r="B248" s="67"/>
    </row>
    <row r="249" spans="1:2" ht="12.75">
      <c r="A249" s="5">
        <v>233</v>
      </c>
      <c r="B249" s="67"/>
    </row>
    <row r="250" spans="1:2" ht="12.75">
      <c r="A250" s="5">
        <v>234</v>
      </c>
      <c r="B250" s="67"/>
    </row>
    <row r="251" spans="1:2" ht="12.75">
      <c r="A251" s="5">
        <v>235</v>
      </c>
      <c r="B251" s="67"/>
    </row>
    <row r="252" spans="1:2" ht="12.75">
      <c r="A252" s="5">
        <v>236</v>
      </c>
      <c r="B252" s="67"/>
    </row>
    <row r="253" spans="1:2" ht="12.75">
      <c r="A253" s="5">
        <v>237</v>
      </c>
      <c r="B253" s="67"/>
    </row>
    <row r="254" spans="1:2" ht="12.75">
      <c r="A254" s="5">
        <v>238</v>
      </c>
      <c r="B254" s="67"/>
    </row>
    <row r="255" spans="1:2" ht="12.75">
      <c r="A255" s="5">
        <v>239</v>
      </c>
      <c r="B255" s="67"/>
    </row>
    <row r="256" spans="1:2" ht="12.75">
      <c r="A256" s="5">
        <v>240</v>
      </c>
      <c r="B256" s="67"/>
    </row>
    <row r="257" spans="1:2" ht="12.75">
      <c r="A257" s="5">
        <v>241</v>
      </c>
      <c r="B257" s="67"/>
    </row>
    <row r="258" spans="1:2" ht="12.75">
      <c r="A258" s="5">
        <v>242</v>
      </c>
      <c r="B258" s="67"/>
    </row>
    <row r="259" spans="1:2" ht="12.75">
      <c r="A259" s="5">
        <v>243</v>
      </c>
      <c r="B259" s="68"/>
    </row>
    <row r="260" spans="1:2" ht="12.75">
      <c r="A260" s="5">
        <v>244</v>
      </c>
      <c r="B260" s="66" t="s">
        <v>8</v>
      </c>
    </row>
    <row r="261" spans="1:2" ht="12.75">
      <c r="A261" s="5">
        <v>245</v>
      </c>
      <c r="B261" s="67"/>
    </row>
    <row r="262" spans="1:2" ht="12.75">
      <c r="A262" s="5">
        <v>246</v>
      </c>
      <c r="B262" s="67"/>
    </row>
    <row r="263" spans="1:2" ht="12.75">
      <c r="A263" s="5">
        <v>247</v>
      </c>
      <c r="B263" s="67"/>
    </row>
    <row r="264" spans="1:2" ht="12.75">
      <c r="A264" s="5">
        <v>248</v>
      </c>
      <c r="B264" s="67"/>
    </row>
    <row r="265" spans="1:2" ht="12.75">
      <c r="A265" s="5">
        <v>249</v>
      </c>
      <c r="B265" s="67"/>
    </row>
    <row r="266" spans="1:2" ht="12.75">
      <c r="A266" s="5">
        <v>250</v>
      </c>
      <c r="B266" s="67"/>
    </row>
    <row r="267" spans="1:2" ht="12.75">
      <c r="A267" s="5">
        <v>251</v>
      </c>
      <c r="B267" s="67"/>
    </row>
    <row r="268" spans="1:2" ht="12.75">
      <c r="A268" s="5">
        <v>252</v>
      </c>
      <c r="B268" s="67"/>
    </row>
    <row r="269" spans="1:2" ht="12.75">
      <c r="A269" s="5">
        <v>253</v>
      </c>
      <c r="B269" s="67"/>
    </row>
    <row r="270" spans="1:2" ht="12.75">
      <c r="A270" s="5">
        <v>254</v>
      </c>
      <c r="B270" s="67"/>
    </row>
    <row r="271" spans="1:2" ht="12.75">
      <c r="A271" s="5">
        <v>255</v>
      </c>
      <c r="B271" s="67"/>
    </row>
    <row r="272" spans="1:2" ht="12.75">
      <c r="A272" s="5">
        <v>256</v>
      </c>
      <c r="B272" s="67"/>
    </row>
    <row r="273" spans="1:2" ht="12.75">
      <c r="A273" s="5">
        <v>257</v>
      </c>
      <c r="B273" s="67"/>
    </row>
    <row r="274" spans="1:2" ht="12.75">
      <c r="A274" s="5">
        <v>258</v>
      </c>
      <c r="B274" s="67"/>
    </row>
    <row r="275" spans="1:2" ht="12.75">
      <c r="A275" s="5">
        <v>259</v>
      </c>
      <c r="B275" s="67"/>
    </row>
    <row r="276" spans="1:2" ht="12.75">
      <c r="A276" s="5">
        <v>260</v>
      </c>
      <c r="B276" s="67"/>
    </row>
    <row r="277" spans="1:2" ht="12.75">
      <c r="A277" s="5">
        <v>261</v>
      </c>
      <c r="B277" s="67"/>
    </row>
    <row r="278" spans="1:2" ht="12.75">
      <c r="A278" s="5">
        <v>262</v>
      </c>
      <c r="B278" s="67"/>
    </row>
    <row r="279" spans="1:2" ht="12.75">
      <c r="A279" s="5">
        <v>263</v>
      </c>
      <c r="B279" s="67"/>
    </row>
    <row r="280" spans="1:2" ht="12.75">
      <c r="A280" s="5">
        <v>264</v>
      </c>
      <c r="B280" s="67"/>
    </row>
    <row r="281" spans="1:2" ht="12.75">
      <c r="A281" s="5">
        <v>265</v>
      </c>
      <c r="B281" s="67"/>
    </row>
    <row r="282" spans="1:2" ht="12.75">
      <c r="A282" s="5">
        <v>266</v>
      </c>
      <c r="B282" s="67"/>
    </row>
    <row r="283" spans="1:2" ht="12.75">
      <c r="A283" s="5">
        <v>267</v>
      </c>
      <c r="B283" s="67"/>
    </row>
    <row r="284" spans="1:2" ht="12.75">
      <c r="A284" s="5">
        <v>268</v>
      </c>
      <c r="B284" s="67"/>
    </row>
    <row r="285" spans="1:2" ht="12.75">
      <c r="A285" s="5">
        <v>269</v>
      </c>
      <c r="B285" s="67"/>
    </row>
    <row r="286" spans="1:2" ht="12.75">
      <c r="A286" s="5">
        <v>270</v>
      </c>
      <c r="B286" s="67"/>
    </row>
    <row r="287" spans="1:2" ht="12.75">
      <c r="A287" s="5">
        <v>271</v>
      </c>
      <c r="B287" s="67"/>
    </row>
    <row r="288" spans="1:2" ht="12.75">
      <c r="A288" s="5">
        <v>272</v>
      </c>
      <c r="B288" s="67"/>
    </row>
    <row r="289" spans="1:2" ht="12.75">
      <c r="A289" s="5">
        <v>273</v>
      </c>
      <c r="B289" s="68"/>
    </row>
    <row r="290" spans="1:2" ht="12.75">
      <c r="A290" s="5">
        <v>274</v>
      </c>
      <c r="B290" s="66" t="s">
        <v>9</v>
      </c>
    </row>
    <row r="291" spans="1:2" ht="12.75">
      <c r="A291" s="5">
        <v>275</v>
      </c>
      <c r="B291" s="67"/>
    </row>
    <row r="292" spans="1:2" ht="12.75">
      <c r="A292" s="5">
        <v>276</v>
      </c>
      <c r="B292" s="67"/>
    </row>
    <row r="293" spans="1:2" ht="12.75">
      <c r="A293" s="5">
        <v>277</v>
      </c>
      <c r="B293" s="67"/>
    </row>
    <row r="294" spans="1:2" ht="12.75">
      <c r="A294" s="5">
        <v>278</v>
      </c>
      <c r="B294" s="67"/>
    </row>
    <row r="295" spans="1:2" ht="12.75">
      <c r="A295" s="5">
        <v>279</v>
      </c>
      <c r="B295" s="67"/>
    </row>
    <row r="296" spans="1:2" ht="12.75">
      <c r="A296" s="5">
        <v>280</v>
      </c>
      <c r="B296" s="67"/>
    </row>
    <row r="297" spans="1:2" ht="12.75">
      <c r="A297" s="5">
        <v>281</v>
      </c>
      <c r="B297" s="67"/>
    </row>
    <row r="298" spans="1:2" ht="12.75">
      <c r="A298" s="5">
        <v>282</v>
      </c>
      <c r="B298" s="67"/>
    </row>
    <row r="299" spans="1:2" ht="12.75">
      <c r="A299" s="5">
        <v>283</v>
      </c>
      <c r="B299" s="67"/>
    </row>
    <row r="300" spans="1:2" ht="12.75">
      <c r="A300" s="5">
        <v>284</v>
      </c>
      <c r="B300" s="67"/>
    </row>
    <row r="301" spans="1:2" ht="12.75">
      <c r="A301" s="5">
        <v>285</v>
      </c>
      <c r="B301" s="67"/>
    </row>
    <row r="302" spans="1:2" ht="12.75">
      <c r="A302" s="5">
        <v>286</v>
      </c>
      <c r="B302" s="67"/>
    </row>
    <row r="303" spans="1:2" ht="12.75">
      <c r="A303" s="5">
        <v>287</v>
      </c>
      <c r="B303" s="67"/>
    </row>
    <row r="304" spans="1:2" ht="12.75">
      <c r="A304" s="5">
        <v>288</v>
      </c>
      <c r="B304" s="67"/>
    </row>
    <row r="305" spans="1:2" ht="12.75">
      <c r="A305" s="5">
        <v>289</v>
      </c>
      <c r="B305" s="67"/>
    </row>
    <row r="306" spans="1:2" ht="12.75">
      <c r="A306" s="5">
        <v>290</v>
      </c>
      <c r="B306" s="67"/>
    </row>
    <row r="307" spans="1:2" ht="12.75">
      <c r="A307" s="5">
        <v>291</v>
      </c>
      <c r="B307" s="67"/>
    </row>
    <row r="308" spans="1:2" ht="12.75">
      <c r="A308" s="5">
        <v>292</v>
      </c>
      <c r="B308" s="67"/>
    </row>
    <row r="309" spans="1:2" ht="12.75">
      <c r="A309" s="5">
        <v>293</v>
      </c>
      <c r="B309" s="67"/>
    </row>
    <row r="310" spans="1:2" ht="12.75">
      <c r="A310" s="5">
        <v>294</v>
      </c>
      <c r="B310" s="67"/>
    </row>
    <row r="311" spans="1:2" ht="12.75">
      <c r="A311" s="5">
        <v>295</v>
      </c>
      <c r="B311" s="67"/>
    </row>
    <row r="312" spans="1:2" ht="12.75">
      <c r="A312" s="5">
        <v>296</v>
      </c>
      <c r="B312" s="67"/>
    </row>
    <row r="313" spans="1:2" ht="12.75">
      <c r="A313" s="5">
        <v>297</v>
      </c>
      <c r="B313" s="67"/>
    </row>
    <row r="314" spans="1:2" ht="12.75">
      <c r="A314" s="5">
        <v>298</v>
      </c>
      <c r="B314" s="67"/>
    </row>
    <row r="315" spans="1:2" ht="12.75">
      <c r="A315" s="5">
        <v>299</v>
      </c>
      <c r="B315" s="67"/>
    </row>
    <row r="316" spans="1:2" ht="12.75">
      <c r="A316" s="5">
        <v>300</v>
      </c>
      <c r="B316" s="67"/>
    </row>
    <row r="317" spans="1:2" ht="12.75">
      <c r="A317" s="5">
        <v>301</v>
      </c>
      <c r="B317" s="67"/>
    </row>
    <row r="318" spans="1:2" ht="12.75">
      <c r="A318" s="5">
        <v>302</v>
      </c>
      <c r="B318" s="67"/>
    </row>
    <row r="319" spans="1:2" ht="12.75">
      <c r="A319" s="5">
        <v>303</v>
      </c>
      <c r="B319" s="67"/>
    </row>
    <row r="320" spans="1:2" ht="12.75">
      <c r="A320" s="5">
        <v>304</v>
      </c>
      <c r="B320" s="68"/>
    </row>
    <row r="321" spans="1:2" ht="12.75">
      <c r="A321" s="5">
        <v>305</v>
      </c>
      <c r="B321" s="66" t="s">
        <v>10</v>
      </c>
    </row>
    <row r="322" spans="1:2" ht="12.75">
      <c r="A322" s="5">
        <v>306</v>
      </c>
      <c r="B322" s="67"/>
    </row>
    <row r="323" spans="1:2" ht="12.75">
      <c r="A323" s="5">
        <v>307</v>
      </c>
      <c r="B323" s="67"/>
    </row>
    <row r="324" spans="1:2" ht="12.75">
      <c r="A324" s="5">
        <v>308</v>
      </c>
      <c r="B324" s="67"/>
    </row>
    <row r="325" spans="1:2" ht="12.75">
      <c r="A325" s="5">
        <v>309</v>
      </c>
      <c r="B325" s="67"/>
    </row>
    <row r="326" spans="1:2" ht="12.75">
      <c r="A326" s="5">
        <v>310</v>
      </c>
      <c r="B326" s="67"/>
    </row>
    <row r="327" spans="1:2" ht="12.75">
      <c r="A327" s="5">
        <v>311</v>
      </c>
      <c r="B327" s="67"/>
    </row>
    <row r="328" spans="1:2" ht="12.75">
      <c r="A328" s="5">
        <v>312</v>
      </c>
      <c r="B328" s="67"/>
    </row>
    <row r="329" spans="1:2" ht="12.75">
      <c r="A329" s="5">
        <v>313</v>
      </c>
      <c r="B329" s="67"/>
    </row>
    <row r="330" spans="1:2" ht="12.75">
      <c r="A330" s="5">
        <v>314</v>
      </c>
      <c r="B330" s="67"/>
    </row>
    <row r="331" spans="1:2" ht="12.75">
      <c r="A331" s="5">
        <v>315</v>
      </c>
      <c r="B331" s="67"/>
    </row>
    <row r="332" spans="1:2" ht="12.75">
      <c r="A332" s="5">
        <v>316</v>
      </c>
      <c r="B332" s="67"/>
    </row>
    <row r="333" spans="1:2" ht="12.75">
      <c r="A333" s="5">
        <v>317</v>
      </c>
      <c r="B333" s="67"/>
    </row>
    <row r="334" spans="1:2" ht="12.75">
      <c r="A334" s="5">
        <v>318</v>
      </c>
      <c r="B334" s="67"/>
    </row>
    <row r="335" spans="1:2" ht="12.75">
      <c r="A335" s="5">
        <v>319</v>
      </c>
      <c r="B335" s="67"/>
    </row>
    <row r="336" spans="1:2" ht="12.75">
      <c r="A336" s="5">
        <v>320</v>
      </c>
      <c r="B336" s="67"/>
    </row>
    <row r="337" spans="1:2" ht="12.75">
      <c r="A337" s="5">
        <v>321</v>
      </c>
      <c r="B337" s="67"/>
    </row>
    <row r="338" spans="1:2" ht="12.75">
      <c r="A338" s="5">
        <v>322</v>
      </c>
      <c r="B338" s="67"/>
    </row>
    <row r="339" spans="1:2" ht="12.75">
      <c r="A339" s="5">
        <v>323</v>
      </c>
      <c r="B339" s="67"/>
    </row>
    <row r="340" spans="1:2" ht="12.75">
      <c r="A340" s="5">
        <v>324</v>
      </c>
      <c r="B340" s="67"/>
    </row>
    <row r="341" spans="1:2" ht="12.75">
      <c r="A341" s="5">
        <v>325</v>
      </c>
      <c r="B341" s="67"/>
    </row>
    <row r="342" spans="1:2" ht="12.75">
      <c r="A342" s="5">
        <v>326</v>
      </c>
      <c r="B342" s="67"/>
    </row>
    <row r="343" spans="1:2" ht="12.75">
      <c r="A343" s="5">
        <v>327</v>
      </c>
      <c r="B343" s="67"/>
    </row>
    <row r="344" spans="1:2" ht="12.75">
      <c r="A344" s="5">
        <v>328</v>
      </c>
      <c r="B344" s="67"/>
    </row>
    <row r="345" spans="1:2" ht="12.75">
      <c r="A345" s="5">
        <v>329</v>
      </c>
      <c r="B345" s="67"/>
    </row>
    <row r="346" spans="1:2" ht="12.75">
      <c r="A346" s="5">
        <v>330</v>
      </c>
      <c r="B346" s="67"/>
    </row>
    <row r="347" spans="1:2" ht="12.75">
      <c r="A347" s="5">
        <v>331</v>
      </c>
      <c r="B347" s="67"/>
    </row>
    <row r="348" spans="1:2" ht="12.75">
      <c r="A348" s="5">
        <v>332</v>
      </c>
      <c r="B348" s="67"/>
    </row>
    <row r="349" spans="1:2" ht="12.75">
      <c r="A349" s="5">
        <v>333</v>
      </c>
      <c r="B349" s="67"/>
    </row>
    <row r="350" spans="1:2" ht="12.75">
      <c r="A350" s="5">
        <v>334</v>
      </c>
      <c r="B350" s="68"/>
    </row>
    <row r="351" spans="1:2" ht="12.75">
      <c r="A351" s="5">
        <v>335</v>
      </c>
      <c r="B351" s="66" t="s">
        <v>11</v>
      </c>
    </row>
    <row r="352" spans="1:2" ht="12.75">
      <c r="A352" s="5">
        <v>336</v>
      </c>
      <c r="B352" s="67"/>
    </row>
    <row r="353" spans="1:2" ht="12.75">
      <c r="A353" s="5">
        <v>337</v>
      </c>
      <c r="B353" s="67"/>
    </row>
    <row r="354" spans="1:2" ht="12.75">
      <c r="A354" s="5">
        <v>338</v>
      </c>
      <c r="B354" s="67"/>
    </row>
    <row r="355" spans="1:2" ht="12.75">
      <c r="A355" s="5">
        <v>339</v>
      </c>
      <c r="B355" s="67"/>
    </row>
    <row r="356" spans="1:2" ht="12.75">
      <c r="A356" s="5">
        <v>340</v>
      </c>
      <c r="B356" s="67"/>
    </row>
    <row r="357" spans="1:2" ht="12.75">
      <c r="A357" s="5">
        <v>341</v>
      </c>
      <c r="B357" s="67"/>
    </row>
    <row r="358" spans="1:2" ht="12.75">
      <c r="A358" s="5">
        <v>342</v>
      </c>
      <c r="B358" s="67"/>
    </row>
    <row r="359" spans="1:2" ht="12.75">
      <c r="A359" s="5">
        <v>343</v>
      </c>
      <c r="B359" s="67"/>
    </row>
    <row r="360" spans="1:2" ht="12.75">
      <c r="A360" s="5">
        <v>344</v>
      </c>
      <c r="B360" s="67"/>
    </row>
    <row r="361" spans="1:2" ht="12.75">
      <c r="A361" s="5">
        <v>345</v>
      </c>
      <c r="B361" s="67"/>
    </row>
    <row r="362" spans="1:2" ht="12.75">
      <c r="A362" s="5">
        <v>346</v>
      </c>
      <c r="B362" s="67"/>
    </row>
    <row r="363" spans="1:2" ht="12.75">
      <c r="A363" s="5">
        <v>347</v>
      </c>
      <c r="B363" s="67"/>
    </row>
    <row r="364" spans="1:2" ht="12.75">
      <c r="A364" s="5">
        <v>348</v>
      </c>
      <c r="B364" s="67"/>
    </row>
    <row r="365" spans="1:2" ht="12.75">
      <c r="A365" s="5">
        <v>349</v>
      </c>
      <c r="B365" s="67"/>
    </row>
    <row r="366" spans="1:2" ht="12.75">
      <c r="A366" s="5">
        <v>350</v>
      </c>
      <c r="B366" s="67"/>
    </row>
    <row r="367" spans="1:2" ht="12.75">
      <c r="A367" s="5">
        <v>351</v>
      </c>
      <c r="B367" s="67"/>
    </row>
    <row r="368" spans="1:2" ht="12.75">
      <c r="A368" s="5">
        <v>352</v>
      </c>
      <c r="B368" s="67"/>
    </row>
    <row r="369" spans="1:2" ht="12.75">
      <c r="A369" s="5">
        <v>353</v>
      </c>
      <c r="B369" s="67"/>
    </row>
    <row r="370" spans="1:2" ht="12.75">
      <c r="A370" s="5">
        <v>354</v>
      </c>
      <c r="B370" s="67"/>
    </row>
    <row r="371" spans="1:2" ht="12.75">
      <c r="A371" s="5">
        <v>355</v>
      </c>
      <c r="B371" s="67"/>
    </row>
    <row r="372" spans="1:2" ht="12.75">
      <c r="A372" s="5">
        <v>356</v>
      </c>
      <c r="B372" s="67"/>
    </row>
    <row r="373" spans="1:2" ht="12.75">
      <c r="A373" s="5">
        <v>357</v>
      </c>
      <c r="B373" s="67"/>
    </row>
    <row r="374" spans="1:2" ht="12.75">
      <c r="A374" s="5">
        <v>358</v>
      </c>
      <c r="B374" s="67"/>
    </row>
    <row r="375" spans="1:2" ht="12.75">
      <c r="A375" s="5">
        <v>359</v>
      </c>
      <c r="B375" s="67"/>
    </row>
    <row r="376" spans="1:2" ht="12.75">
      <c r="A376" s="5">
        <v>360</v>
      </c>
      <c r="B376" s="67"/>
    </row>
    <row r="377" spans="1:2" ht="12.75">
      <c r="A377" s="5">
        <v>361</v>
      </c>
      <c r="B377" s="67"/>
    </row>
    <row r="378" spans="1:2" ht="12.75">
      <c r="A378" s="5">
        <v>362</v>
      </c>
      <c r="B378" s="67"/>
    </row>
    <row r="379" spans="1:2" ht="12.75">
      <c r="A379" s="5">
        <v>363</v>
      </c>
      <c r="B379" s="67"/>
    </row>
    <row r="380" spans="1:2" ht="12.75">
      <c r="A380" s="5">
        <v>364</v>
      </c>
      <c r="B380" s="67"/>
    </row>
    <row r="381" spans="1:2" ht="12.75">
      <c r="A381" s="5">
        <v>365</v>
      </c>
      <c r="B381" s="68"/>
    </row>
  </sheetData>
  <sheetProtection/>
  <mergeCells count="12">
    <mergeCell ref="B47:B75"/>
    <mergeCell ref="B76:B106"/>
    <mergeCell ref="B107:B136"/>
    <mergeCell ref="B16:B46"/>
    <mergeCell ref="B260:B289"/>
    <mergeCell ref="B290:B320"/>
    <mergeCell ref="B321:B350"/>
    <mergeCell ref="B351:B381"/>
    <mergeCell ref="B137:B167"/>
    <mergeCell ref="B168:B197"/>
    <mergeCell ref="B198:B228"/>
    <mergeCell ref="B229:B259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="75" zoomScaleSheetLayoutView="75" zoomScalePageLayoutView="0" workbookViewId="0" topLeftCell="B2">
      <selection activeCell="W34" sqref="W34"/>
    </sheetView>
  </sheetViews>
  <sheetFormatPr defaultColWidth="9.140625" defaultRowHeight="12.75"/>
  <cols>
    <col min="1" max="1" width="7.281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28125" style="0" customWidth="1"/>
    <col min="13" max="13" width="7.28125" style="0" customWidth="1"/>
    <col min="14" max="14" width="10.00390625" style="0" bestFit="1" customWidth="1"/>
    <col min="16" max="16" width="7.7109375" style="0" customWidth="1"/>
    <col min="17" max="17" width="6.57421875" style="0" customWidth="1"/>
    <col min="18" max="18" width="7.7109375" style="0" customWidth="1"/>
    <col min="19" max="19" width="8.7109375" style="0" customWidth="1"/>
    <col min="20" max="20" width="8.00390625" style="0" customWidth="1"/>
    <col min="21" max="21" width="8.281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70">
        <v>39448</v>
      </c>
      <c r="B1" s="70"/>
      <c r="C1" s="8">
        <v>1</v>
      </c>
      <c r="E1">
        <v>3.6</v>
      </c>
    </row>
    <row r="2" spans="1:25" ht="30">
      <c r="A2" s="71" t="s">
        <v>12</v>
      </c>
      <c r="B2" s="71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72"/>
      <c r="B3" s="72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2023</v>
      </c>
      <c r="B4" s="53">
        <v>45170</v>
      </c>
      <c r="C4" s="37">
        <v>32</v>
      </c>
      <c r="D4" s="6">
        <v>1619</v>
      </c>
      <c r="E4" s="37">
        <v>16.75</v>
      </c>
      <c r="F4" s="6">
        <v>613</v>
      </c>
      <c r="G4" s="6">
        <v>24.46</v>
      </c>
      <c r="H4" s="37">
        <v>84.41</v>
      </c>
      <c r="I4" s="6">
        <v>615</v>
      </c>
      <c r="J4" s="6">
        <v>37.16</v>
      </c>
      <c r="K4" s="6">
        <v>1620</v>
      </c>
      <c r="L4" s="37">
        <v>60.04</v>
      </c>
      <c r="M4" s="6">
        <v>0</v>
      </c>
      <c r="N4" s="34">
        <v>2.37</v>
      </c>
      <c r="O4" s="34">
        <v>23.01</v>
      </c>
      <c r="P4" s="6">
        <v>244</v>
      </c>
      <c r="Q4" s="36">
        <v>136.8</v>
      </c>
      <c r="R4" s="37">
        <v>6.32</v>
      </c>
      <c r="S4" s="36">
        <v>834.6</v>
      </c>
      <c r="T4" s="6">
        <v>1304</v>
      </c>
      <c r="U4" s="54">
        <v>16.73</v>
      </c>
      <c r="V4" s="46">
        <v>1240</v>
      </c>
      <c r="W4" s="54">
        <v>-47.86</v>
      </c>
      <c r="X4" s="46">
        <v>110</v>
      </c>
      <c r="Y4" s="47">
        <v>1.928</v>
      </c>
    </row>
    <row r="5" spans="1:25" ht="12.75">
      <c r="A5" s="6">
        <v>2023</v>
      </c>
      <c r="B5" s="53">
        <v>45171</v>
      </c>
      <c r="C5" s="6">
        <v>33.89</v>
      </c>
      <c r="D5" s="6">
        <v>1514</v>
      </c>
      <c r="E5" s="37">
        <v>20.11</v>
      </c>
      <c r="F5" s="6">
        <v>652</v>
      </c>
      <c r="G5" s="6">
        <v>26.95</v>
      </c>
      <c r="H5" s="37">
        <v>83.34</v>
      </c>
      <c r="I5" s="6">
        <v>700</v>
      </c>
      <c r="J5" s="37">
        <v>41.47</v>
      </c>
      <c r="K5" s="6">
        <v>1522</v>
      </c>
      <c r="L5" s="37">
        <v>62.29</v>
      </c>
      <c r="M5" s="6">
        <v>0</v>
      </c>
      <c r="N5" s="34">
        <v>3.17</v>
      </c>
      <c r="O5" s="34">
        <v>42.49</v>
      </c>
      <c r="P5" s="6">
        <v>1059</v>
      </c>
      <c r="Q5" s="36">
        <v>49.5</v>
      </c>
      <c r="R5" s="37">
        <v>6.47</v>
      </c>
      <c r="S5" s="36">
        <v>873.2</v>
      </c>
      <c r="T5" s="6">
        <v>1253</v>
      </c>
      <c r="U5" s="37">
        <v>29.87</v>
      </c>
      <c r="V5" s="6">
        <v>1257</v>
      </c>
      <c r="W5" s="34">
        <v>-53.68</v>
      </c>
      <c r="X5" s="6">
        <v>131</v>
      </c>
      <c r="Y5" s="35">
        <v>2.07</v>
      </c>
    </row>
    <row r="6" spans="1:25" ht="12.75">
      <c r="A6" s="6">
        <v>2023</v>
      </c>
      <c r="B6" s="53">
        <v>45172</v>
      </c>
      <c r="C6" s="37">
        <v>33.5</v>
      </c>
      <c r="D6" s="6">
        <v>1612</v>
      </c>
      <c r="E6" s="37">
        <v>20.28</v>
      </c>
      <c r="F6" s="6">
        <v>544</v>
      </c>
      <c r="G6" s="37">
        <v>25.62</v>
      </c>
      <c r="H6" s="37">
        <v>99.03</v>
      </c>
      <c r="I6" s="6">
        <v>552</v>
      </c>
      <c r="J6" s="37">
        <v>46.17</v>
      </c>
      <c r="K6" s="6">
        <v>1615</v>
      </c>
      <c r="L6" s="37">
        <v>77.21</v>
      </c>
      <c r="M6" s="36">
        <v>21.6</v>
      </c>
      <c r="N6" s="34">
        <v>2.1</v>
      </c>
      <c r="O6" s="34">
        <v>28.81</v>
      </c>
      <c r="P6" s="6">
        <v>1119</v>
      </c>
      <c r="Q6" s="6">
        <v>55.6</v>
      </c>
      <c r="R6" s="6">
        <v>6.54</v>
      </c>
      <c r="S6" s="36">
        <v>874.1</v>
      </c>
      <c r="T6" s="6">
        <v>1024</v>
      </c>
      <c r="U6" s="37">
        <v>27.13</v>
      </c>
      <c r="V6" s="6">
        <v>1316</v>
      </c>
      <c r="W6" s="37">
        <v>-45.93</v>
      </c>
      <c r="X6" s="6">
        <v>436</v>
      </c>
      <c r="Y6" s="35">
        <v>2.064</v>
      </c>
    </row>
    <row r="7" spans="1:25" ht="12.75">
      <c r="A7" s="6">
        <v>2023</v>
      </c>
      <c r="B7" s="53">
        <v>45173</v>
      </c>
      <c r="C7" s="37">
        <v>34</v>
      </c>
      <c r="D7" s="6">
        <v>1444</v>
      </c>
      <c r="E7" s="37">
        <v>21.72</v>
      </c>
      <c r="F7" s="6">
        <v>637</v>
      </c>
      <c r="G7" s="37">
        <v>28.17</v>
      </c>
      <c r="H7" s="37">
        <v>87.25</v>
      </c>
      <c r="I7" s="6">
        <v>642</v>
      </c>
      <c r="J7" s="37">
        <v>39.32</v>
      </c>
      <c r="K7" s="6">
        <v>1451</v>
      </c>
      <c r="L7" s="37">
        <v>61.34</v>
      </c>
      <c r="M7" s="6">
        <v>0</v>
      </c>
      <c r="N7" s="34">
        <v>2.36</v>
      </c>
      <c r="O7" s="34">
        <v>30.26</v>
      </c>
      <c r="P7" s="6">
        <v>1354</v>
      </c>
      <c r="Q7" s="36">
        <v>352.9</v>
      </c>
      <c r="R7" s="37">
        <v>7.01</v>
      </c>
      <c r="S7" s="36">
        <v>853.7</v>
      </c>
      <c r="T7" s="6">
        <v>1253</v>
      </c>
      <c r="U7" s="37">
        <v>58.31</v>
      </c>
      <c r="V7" s="38">
        <v>1429</v>
      </c>
      <c r="W7" s="6">
        <v>-48.33</v>
      </c>
      <c r="X7" s="6">
        <v>2211</v>
      </c>
      <c r="Y7" s="35">
        <v>2.019</v>
      </c>
    </row>
    <row r="8" spans="1:25" ht="12.75">
      <c r="A8" s="6">
        <v>2023</v>
      </c>
      <c r="B8" s="53">
        <v>45174</v>
      </c>
      <c r="C8" s="6">
        <v>29.75</v>
      </c>
      <c r="D8" s="6">
        <v>1609</v>
      </c>
      <c r="E8" s="37">
        <v>21.12</v>
      </c>
      <c r="F8" s="6">
        <v>612</v>
      </c>
      <c r="G8" s="37">
        <v>24.39</v>
      </c>
      <c r="H8" s="37">
        <v>99.45</v>
      </c>
      <c r="I8" s="6">
        <v>618</v>
      </c>
      <c r="J8" s="37">
        <v>56.01</v>
      </c>
      <c r="K8" s="6">
        <v>1612</v>
      </c>
      <c r="L8" s="37">
        <v>83.96</v>
      </c>
      <c r="M8" s="6">
        <v>8.4</v>
      </c>
      <c r="N8" s="34">
        <v>2.09</v>
      </c>
      <c r="O8" s="34">
        <v>35.57</v>
      </c>
      <c r="P8" s="6">
        <v>147</v>
      </c>
      <c r="Q8" s="36">
        <v>236.7</v>
      </c>
      <c r="R8" s="37">
        <v>6.62</v>
      </c>
      <c r="S8" s="36">
        <v>862.8</v>
      </c>
      <c r="T8" s="6">
        <v>1343</v>
      </c>
      <c r="U8" s="37">
        <v>26.06</v>
      </c>
      <c r="V8" s="6">
        <v>1326</v>
      </c>
      <c r="W8" s="37">
        <v>-48.5</v>
      </c>
      <c r="X8" s="6">
        <v>2145</v>
      </c>
      <c r="Y8" s="35">
        <v>1.217</v>
      </c>
    </row>
    <row r="9" spans="1:25" ht="12.75">
      <c r="A9" s="6">
        <v>2023</v>
      </c>
      <c r="B9" s="53">
        <v>45175</v>
      </c>
      <c r="C9" s="6">
        <v>30.89</v>
      </c>
      <c r="D9" s="6">
        <v>1548</v>
      </c>
      <c r="E9" s="37">
        <v>17.91</v>
      </c>
      <c r="F9" s="6">
        <v>604</v>
      </c>
      <c r="G9" s="37">
        <v>23.57</v>
      </c>
      <c r="H9" s="37">
        <v>94.17</v>
      </c>
      <c r="I9" s="6">
        <v>611</v>
      </c>
      <c r="J9" s="37">
        <v>53.28</v>
      </c>
      <c r="K9" s="6">
        <v>1549</v>
      </c>
      <c r="L9" s="37">
        <v>76.15</v>
      </c>
      <c r="M9" s="38">
        <v>0</v>
      </c>
      <c r="N9" s="34">
        <v>5.05</v>
      </c>
      <c r="O9" s="34">
        <v>35.56</v>
      </c>
      <c r="P9" s="6">
        <v>1708</v>
      </c>
      <c r="Q9" s="36">
        <v>123.4</v>
      </c>
      <c r="R9" s="37">
        <v>6.02</v>
      </c>
      <c r="S9" s="36">
        <v>849.4</v>
      </c>
      <c r="T9" s="6">
        <v>1214</v>
      </c>
      <c r="U9" s="46">
        <v>21.39</v>
      </c>
      <c r="V9" s="46">
        <v>1352</v>
      </c>
      <c r="W9" s="54">
        <v>-55.4</v>
      </c>
      <c r="X9" s="46">
        <v>158</v>
      </c>
      <c r="Y9" s="47">
        <v>1.74</v>
      </c>
    </row>
    <row r="10" spans="1:25" ht="12.75">
      <c r="A10" s="6">
        <v>2023</v>
      </c>
      <c r="B10" s="53">
        <v>45176</v>
      </c>
      <c r="C10" s="6">
        <v>30.15</v>
      </c>
      <c r="D10" s="6">
        <v>1554</v>
      </c>
      <c r="E10" s="6">
        <v>18.62</v>
      </c>
      <c r="F10" s="6">
        <v>602</v>
      </c>
      <c r="G10" s="37">
        <v>23.75</v>
      </c>
      <c r="H10" s="37">
        <v>90.41</v>
      </c>
      <c r="I10" s="6">
        <v>607</v>
      </c>
      <c r="J10" s="6">
        <v>37.33</v>
      </c>
      <c r="K10" s="6">
        <v>1601</v>
      </c>
      <c r="L10" s="37">
        <v>63.01</v>
      </c>
      <c r="M10" s="6">
        <v>0</v>
      </c>
      <c r="N10" s="34">
        <v>3.49</v>
      </c>
      <c r="O10" s="34">
        <v>35.4</v>
      </c>
      <c r="P10" s="6">
        <v>1214</v>
      </c>
      <c r="Q10" s="6">
        <v>131.5</v>
      </c>
      <c r="R10" s="37">
        <v>6.09</v>
      </c>
      <c r="S10" s="36">
        <v>833.3</v>
      </c>
      <c r="T10" s="6">
        <v>1235</v>
      </c>
      <c r="U10" s="54">
        <v>41.47</v>
      </c>
      <c r="V10" s="46">
        <v>1308</v>
      </c>
      <c r="W10" s="54">
        <v>-44.34</v>
      </c>
      <c r="X10" s="46">
        <v>2316</v>
      </c>
      <c r="Y10" s="47">
        <v>1.453</v>
      </c>
    </row>
    <row r="11" spans="1:25" ht="12.75">
      <c r="A11" s="6">
        <v>2023</v>
      </c>
      <c r="B11" s="53">
        <v>45177</v>
      </c>
      <c r="C11" s="37">
        <v>33</v>
      </c>
      <c r="D11" s="6">
        <v>1603</v>
      </c>
      <c r="E11" s="37">
        <v>17.72</v>
      </c>
      <c r="F11" s="6">
        <v>529</v>
      </c>
      <c r="G11" s="37">
        <v>25.06</v>
      </c>
      <c r="H11" s="37">
        <v>73.22</v>
      </c>
      <c r="I11" s="6">
        <v>532</v>
      </c>
      <c r="J11" s="37">
        <v>28.15</v>
      </c>
      <c r="K11" s="6">
        <v>1605</v>
      </c>
      <c r="L11" s="37">
        <v>51.33</v>
      </c>
      <c r="M11" s="6">
        <v>0</v>
      </c>
      <c r="N11" s="34">
        <v>2.99</v>
      </c>
      <c r="O11" s="34">
        <v>38.9</v>
      </c>
      <c r="P11" s="6">
        <v>1024</v>
      </c>
      <c r="Q11" s="36">
        <v>52.3</v>
      </c>
      <c r="R11" s="37">
        <v>6.17</v>
      </c>
      <c r="S11" s="36">
        <v>862</v>
      </c>
      <c r="T11" s="6">
        <v>1229</v>
      </c>
      <c r="U11" s="37">
        <v>19.36</v>
      </c>
      <c r="V11" s="6">
        <v>1320</v>
      </c>
      <c r="W11" s="34">
        <v>-48.47</v>
      </c>
      <c r="X11" s="6">
        <v>2207</v>
      </c>
      <c r="Y11" s="35">
        <v>1.918</v>
      </c>
    </row>
    <row r="12" spans="1:25" ht="12.75">
      <c r="A12" s="6">
        <v>2023</v>
      </c>
      <c r="B12" s="53">
        <v>45178</v>
      </c>
      <c r="C12" s="37">
        <v>28.75</v>
      </c>
      <c r="D12" s="6">
        <v>1229</v>
      </c>
      <c r="E12" s="37">
        <v>19.25</v>
      </c>
      <c r="F12" s="6">
        <v>654</v>
      </c>
      <c r="G12" s="37">
        <v>23.05</v>
      </c>
      <c r="H12" s="37">
        <v>81.42</v>
      </c>
      <c r="I12" s="6">
        <v>656</v>
      </c>
      <c r="J12" s="37">
        <v>45.24</v>
      </c>
      <c r="K12" s="6">
        <v>1243</v>
      </c>
      <c r="L12" s="37">
        <v>61.14</v>
      </c>
      <c r="M12" s="6">
        <v>0</v>
      </c>
      <c r="N12" s="34">
        <v>3.26</v>
      </c>
      <c r="O12" s="34">
        <v>48.92</v>
      </c>
      <c r="P12" s="6">
        <v>1449</v>
      </c>
      <c r="Q12" s="36">
        <v>306.1</v>
      </c>
      <c r="R12" s="6">
        <v>5.86</v>
      </c>
      <c r="S12" s="36">
        <v>910.1</v>
      </c>
      <c r="T12" s="6">
        <v>1324</v>
      </c>
      <c r="U12" s="37">
        <v>34.01</v>
      </c>
      <c r="V12" s="6">
        <v>1329</v>
      </c>
      <c r="W12" s="37">
        <v>-43.62</v>
      </c>
      <c r="X12" s="6">
        <v>432</v>
      </c>
      <c r="Y12" s="35">
        <v>1.337</v>
      </c>
    </row>
    <row r="13" spans="1:25" ht="12.75">
      <c r="A13" s="6">
        <v>2023</v>
      </c>
      <c r="B13" s="53">
        <v>45179</v>
      </c>
      <c r="C13" s="6">
        <v>31.42</v>
      </c>
      <c r="D13" s="6">
        <v>1614</v>
      </c>
      <c r="E13" s="37">
        <v>17.5</v>
      </c>
      <c r="F13" s="6">
        <v>554</v>
      </c>
      <c r="G13" s="37">
        <v>24.28</v>
      </c>
      <c r="H13" s="37">
        <v>85.37</v>
      </c>
      <c r="I13" s="6">
        <v>601</v>
      </c>
      <c r="J13" s="37">
        <v>35.08</v>
      </c>
      <c r="K13" s="6">
        <v>1616</v>
      </c>
      <c r="L13" s="37">
        <v>59.36</v>
      </c>
      <c r="M13" s="6">
        <v>0</v>
      </c>
      <c r="N13" s="34">
        <v>2.86</v>
      </c>
      <c r="O13" s="34">
        <v>27.68</v>
      </c>
      <c r="P13" s="6">
        <v>929</v>
      </c>
      <c r="Q13" s="36">
        <v>142.9</v>
      </c>
      <c r="R13" s="6">
        <v>5.91</v>
      </c>
      <c r="S13" s="36">
        <v>982.5</v>
      </c>
      <c r="T13" s="6">
        <v>1129</v>
      </c>
      <c r="U13" s="54">
        <v>12.12</v>
      </c>
      <c r="V13" s="46">
        <v>1235</v>
      </c>
      <c r="W13" s="54">
        <v>-52.29</v>
      </c>
      <c r="X13" s="46">
        <v>517</v>
      </c>
      <c r="Y13" s="47">
        <v>1.606</v>
      </c>
    </row>
    <row r="14" spans="1:26" ht="12.75">
      <c r="A14" s="6">
        <v>2023</v>
      </c>
      <c r="B14" s="53">
        <v>45180</v>
      </c>
      <c r="C14" s="6">
        <v>32.11</v>
      </c>
      <c r="D14" s="6">
        <v>1423</v>
      </c>
      <c r="E14" s="6">
        <v>18.72</v>
      </c>
      <c r="F14" s="6">
        <v>639</v>
      </c>
      <c r="G14" s="37">
        <v>25.28</v>
      </c>
      <c r="H14" s="37">
        <v>79.02</v>
      </c>
      <c r="I14" s="6">
        <v>635</v>
      </c>
      <c r="J14" s="37">
        <v>31.42</v>
      </c>
      <c r="K14" s="6">
        <v>1435</v>
      </c>
      <c r="L14" s="37">
        <v>51.28</v>
      </c>
      <c r="M14" s="6">
        <v>0</v>
      </c>
      <c r="N14" s="34">
        <v>2.41</v>
      </c>
      <c r="O14" s="34">
        <v>24.78</v>
      </c>
      <c r="P14" s="6">
        <v>1023</v>
      </c>
      <c r="Q14" s="36">
        <v>151.7</v>
      </c>
      <c r="R14" s="37">
        <v>6.12</v>
      </c>
      <c r="S14" s="36">
        <v>820.8</v>
      </c>
      <c r="T14" s="6">
        <v>1304</v>
      </c>
      <c r="U14" s="37">
        <v>35.82</v>
      </c>
      <c r="V14" s="6">
        <v>1356</v>
      </c>
      <c r="W14" s="37">
        <v>-52.92</v>
      </c>
      <c r="X14" s="6">
        <v>2102</v>
      </c>
      <c r="Y14" s="35">
        <v>1.768</v>
      </c>
      <c r="Z14" s="13"/>
    </row>
    <row r="15" spans="1:25" ht="12.75">
      <c r="A15" s="6">
        <v>2023</v>
      </c>
      <c r="B15" s="53">
        <v>45181</v>
      </c>
      <c r="C15" s="6">
        <v>33.78</v>
      </c>
      <c r="D15" s="6">
        <v>1704</v>
      </c>
      <c r="E15" s="37">
        <v>18.12</v>
      </c>
      <c r="F15" s="6">
        <v>556</v>
      </c>
      <c r="G15" s="37">
        <v>26.06</v>
      </c>
      <c r="H15" s="37">
        <v>69.37</v>
      </c>
      <c r="I15" s="6">
        <v>601</v>
      </c>
      <c r="J15" s="6">
        <v>24.48</v>
      </c>
      <c r="K15" s="6">
        <v>1704</v>
      </c>
      <c r="L15" s="37">
        <v>44.18</v>
      </c>
      <c r="M15" s="38">
        <v>0</v>
      </c>
      <c r="N15" s="34">
        <v>2.06</v>
      </c>
      <c r="O15" s="34">
        <v>27.68</v>
      </c>
      <c r="P15" s="6">
        <v>1124</v>
      </c>
      <c r="Q15" s="36">
        <v>96.5</v>
      </c>
      <c r="R15" s="37">
        <v>6.53</v>
      </c>
      <c r="S15" s="36">
        <v>855.9</v>
      </c>
      <c r="T15" s="6">
        <v>1233</v>
      </c>
      <c r="U15" s="54">
        <v>16.45</v>
      </c>
      <c r="V15" s="46">
        <v>1425</v>
      </c>
      <c r="W15" s="54">
        <v>-48.32</v>
      </c>
      <c r="X15" s="46">
        <v>535</v>
      </c>
      <c r="Y15" s="47">
        <v>2.285</v>
      </c>
    </row>
    <row r="16" spans="1:25" ht="12.75">
      <c r="A16" s="6">
        <v>2023</v>
      </c>
      <c r="B16" s="53">
        <v>45182</v>
      </c>
      <c r="C16" s="37">
        <v>35.5</v>
      </c>
      <c r="D16" s="6">
        <v>1439</v>
      </c>
      <c r="E16" s="6">
        <v>20.01</v>
      </c>
      <c r="F16" s="6">
        <v>428</v>
      </c>
      <c r="G16" s="37">
        <v>27.72</v>
      </c>
      <c r="H16" s="37">
        <v>74.22</v>
      </c>
      <c r="I16" s="6">
        <v>437</v>
      </c>
      <c r="J16" s="6">
        <v>25.16</v>
      </c>
      <c r="K16" s="6">
        <v>1445</v>
      </c>
      <c r="L16" s="37">
        <v>44.33</v>
      </c>
      <c r="M16" s="6">
        <v>0</v>
      </c>
      <c r="N16" s="34">
        <v>4.2</v>
      </c>
      <c r="O16" s="34">
        <v>59.71</v>
      </c>
      <c r="P16" s="6">
        <v>2154</v>
      </c>
      <c r="Q16" s="36">
        <v>42.3</v>
      </c>
      <c r="R16" s="6">
        <v>6.48</v>
      </c>
      <c r="S16" s="36">
        <v>837.1</v>
      </c>
      <c r="T16" s="6">
        <v>1221</v>
      </c>
      <c r="U16" s="37">
        <v>24.28</v>
      </c>
      <c r="V16" s="6">
        <v>1239</v>
      </c>
      <c r="W16" s="37">
        <v>-45.39</v>
      </c>
      <c r="X16" s="6">
        <v>504</v>
      </c>
      <c r="Y16" s="35">
        <v>2.533</v>
      </c>
    </row>
    <row r="17" spans="1:25" ht="12.75">
      <c r="A17" s="6">
        <v>2023</v>
      </c>
      <c r="B17" s="53">
        <v>45183</v>
      </c>
      <c r="C17" s="6">
        <v>23.52</v>
      </c>
      <c r="D17" s="6">
        <v>1129</v>
      </c>
      <c r="E17" s="37">
        <v>16.54</v>
      </c>
      <c r="F17" s="6">
        <v>629</v>
      </c>
      <c r="G17" s="37">
        <v>19.65</v>
      </c>
      <c r="H17" s="37">
        <v>99.87</v>
      </c>
      <c r="I17" s="6">
        <v>632</v>
      </c>
      <c r="J17" s="37">
        <v>69.34</v>
      </c>
      <c r="K17" s="6">
        <v>1142</v>
      </c>
      <c r="L17" s="37">
        <v>86.29</v>
      </c>
      <c r="M17" s="6">
        <v>4.6</v>
      </c>
      <c r="N17" s="34">
        <v>2.59</v>
      </c>
      <c r="O17" s="34">
        <v>36.37</v>
      </c>
      <c r="P17" s="6">
        <v>4</v>
      </c>
      <c r="Q17" s="36">
        <v>263.6</v>
      </c>
      <c r="R17" s="37">
        <v>4.91</v>
      </c>
      <c r="S17" s="36">
        <v>1088.8</v>
      </c>
      <c r="T17" s="6">
        <v>1124</v>
      </c>
      <c r="U17" s="37">
        <v>11.2</v>
      </c>
      <c r="V17" s="6">
        <v>1324</v>
      </c>
      <c r="W17" s="37">
        <v>-29.71</v>
      </c>
      <c r="X17" s="6">
        <v>2323</v>
      </c>
      <c r="Y17" s="35">
        <v>1.039</v>
      </c>
    </row>
    <row r="18" spans="1:25" ht="12.75">
      <c r="A18" s="6">
        <v>2023</v>
      </c>
      <c r="B18" s="53">
        <v>45184</v>
      </c>
      <c r="C18" s="6">
        <v>27.63</v>
      </c>
      <c r="D18" s="6">
        <v>1533</v>
      </c>
      <c r="E18" s="37">
        <v>14.5</v>
      </c>
      <c r="F18" s="6">
        <v>527</v>
      </c>
      <c r="G18" s="37">
        <v>19.94</v>
      </c>
      <c r="H18" s="37">
        <v>99.03</v>
      </c>
      <c r="I18" s="6">
        <v>531</v>
      </c>
      <c r="J18" s="37">
        <v>34.24</v>
      </c>
      <c r="K18" s="6">
        <v>1534</v>
      </c>
      <c r="L18" s="37">
        <v>72.15</v>
      </c>
      <c r="M18" s="6">
        <v>0</v>
      </c>
      <c r="N18" s="34">
        <v>2.01</v>
      </c>
      <c r="O18" s="34">
        <v>18.02</v>
      </c>
      <c r="P18" s="6">
        <v>259</v>
      </c>
      <c r="Q18" s="36">
        <v>226.1</v>
      </c>
      <c r="R18" s="6">
        <v>5.12</v>
      </c>
      <c r="S18" s="36">
        <v>968.7</v>
      </c>
      <c r="T18" s="6">
        <v>1014</v>
      </c>
      <c r="U18" s="54">
        <v>37.64</v>
      </c>
      <c r="V18" s="46">
        <v>1236</v>
      </c>
      <c r="W18" s="54">
        <v>-42.98</v>
      </c>
      <c r="X18" s="46">
        <v>2359</v>
      </c>
      <c r="Y18" s="47">
        <v>1.281</v>
      </c>
    </row>
    <row r="19" spans="1:25" ht="12.75">
      <c r="A19" s="6">
        <v>2023</v>
      </c>
      <c r="B19" s="53">
        <v>45185</v>
      </c>
      <c r="C19" s="37">
        <v>33.62</v>
      </c>
      <c r="D19" s="6">
        <v>1439</v>
      </c>
      <c r="E19" s="37">
        <v>15.28</v>
      </c>
      <c r="F19" s="6">
        <v>538</v>
      </c>
      <c r="G19" s="37">
        <v>23.95</v>
      </c>
      <c r="H19" s="37">
        <v>81.27</v>
      </c>
      <c r="I19" s="6">
        <v>544</v>
      </c>
      <c r="J19" s="37">
        <v>27.11</v>
      </c>
      <c r="K19" s="6">
        <v>1445</v>
      </c>
      <c r="L19" s="6">
        <v>55.42</v>
      </c>
      <c r="M19" s="6">
        <v>0</v>
      </c>
      <c r="N19" s="34">
        <v>2.86</v>
      </c>
      <c r="O19" s="34">
        <v>30.58</v>
      </c>
      <c r="P19" s="6">
        <v>1414</v>
      </c>
      <c r="Q19" s="36">
        <v>123.5</v>
      </c>
      <c r="R19" s="37">
        <v>5.91</v>
      </c>
      <c r="S19" s="36">
        <v>885.3</v>
      </c>
      <c r="T19" s="6">
        <v>1244</v>
      </c>
      <c r="U19" s="54">
        <v>16.45</v>
      </c>
      <c r="V19" s="46">
        <v>1425</v>
      </c>
      <c r="W19" s="54">
        <v>-48.32</v>
      </c>
      <c r="X19" s="46">
        <v>535</v>
      </c>
      <c r="Y19" s="47">
        <v>2.285</v>
      </c>
    </row>
    <row r="20" spans="1:25" ht="12.75">
      <c r="A20" s="6">
        <v>2023</v>
      </c>
      <c r="B20" s="53">
        <v>45186</v>
      </c>
      <c r="C20" s="37">
        <v>35</v>
      </c>
      <c r="D20" s="6">
        <v>1538</v>
      </c>
      <c r="E20" s="6">
        <v>20.78</v>
      </c>
      <c r="F20" s="6">
        <v>119</v>
      </c>
      <c r="G20" s="37">
        <v>26.83</v>
      </c>
      <c r="H20" s="37">
        <v>71.57</v>
      </c>
      <c r="I20" s="6">
        <v>428</v>
      </c>
      <c r="J20" s="37">
        <v>32.38</v>
      </c>
      <c r="K20" s="6">
        <v>1547</v>
      </c>
      <c r="L20" s="37">
        <v>52.02</v>
      </c>
      <c r="M20" s="36">
        <v>1</v>
      </c>
      <c r="N20" s="34">
        <v>1.79</v>
      </c>
      <c r="O20" s="34">
        <v>29.13</v>
      </c>
      <c r="P20" s="6">
        <v>1623</v>
      </c>
      <c r="Q20" s="36">
        <v>136.6</v>
      </c>
      <c r="R20" s="37">
        <v>6.13</v>
      </c>
      <c r="S20" s="36">
        <v>919.2</v>
      </c>
      <c r="T20" s="6">
        <v>1235</v>
      </c>
      <c r="U20" s="37">
        <v>30.18</v>
      </c>
      <c r="V20" s="6">
        <v>1319</v>
      </c>
      <c r="W20" s="37">
        <v>-46.72</v>
      </c>
      <c r="X20" s="6">
        <v>534</v>
      </c>
      <c r="Y20" s="35">
        <v>2.776</v>
      </c>
    </row>
    <row r="21" spans="1:25" ht="12.75">
      <c r="A21" s="6">
        <v>2023</v>
      </c>
      <c r="B21" s="53">
        <v>45187</v>
      </c>
      <c r="C21" s="37">
        <v>35.61</v>
      </c>
      <c r="D21" s="6">
        <v>1559</v>
      </c>
      <c r="E21" s="37">
        <v>21</v>
      </c>
      <c r="F21" s="6">
        <v>633</v>
      </c>
      <c r="G21" s="37">
        <v>26.33</v>
      </c>
      <c r="H21" s="37">
        <v>86.41</v>
      </c>
      <c r="I21" s="6">
        <v>642</v>
      </c>
      <c r="J21" s="37">
        <v>31.22</v>
      </c>
      <c r="K21" s="6">
        <v>1603</v>
      </c>
      <c r="L21" s="37">
        <v>62.17</v>
      </c>
      <c r="M21" s="6">
        <v>0</v>
      </c>
      <c r="N21" s="34">
        <v>2.73</v>
      </c>
      <c r="O21" s="34">
        <v>34.28</v>
      </c>
      <c r="P21" s="6">
        <v>2014</v>
      </c>
      <c r="Q21" s="36">
        <v>143.9</v>
      </c>
      <c r="R21" s="6">
        <v>6.41</v>
      </c>
      <c r="S21" s="36">
        <v>894.5</v>
      </c>
      <c r="T21" s="6">
        <v>1049</v>
      </c>
      <c r="U21" s="37">
        <v>58.31</v>
      </c>
      <c r="V21" s="38">
        <v>1429</v>
      </c>
      <c r="W21" s="6">
        <v>-48.33</v>
      </c>
      <c r="X21" s="6">
        <v>2211</v>
      </c>
      <c r="Y21" s="35">
        <v>2.819</v>
      </c>
    </row>
    <row r="22" spans="1:27" ht="12.75">
      <c r="A22" s="6">
        <v>2023</v>
      </c>
      <c r="B22" s="53">
        <v>45188</v>
      </c>
      <c r="C22" s="37">
        <v>35.12</v>
      </c>
      <c r="D22" s="6">
        <v>1447</v>
      </c>
      <c r="E22" s="6">
        <v>21.28</v>
      </c>
      <c r="F22" s="6">
        <v>618</v>
      </c>
      <c r="G22" s="37">
        <v>28.06</v>
      </c>
      <c r="H22" s="37">
        <v>83.28</v>
      </c>
      <c r="I22" s="6">
        <v>623</v>
      </c>
      <c r="J22" s="37">
        <v>25.13</v>
      </c>
      <c r="K22" s="6">
        <v>1501</v>
      </c>
      <c r="L22" s="37">
        <v>52.1</v>
      </c>
      <c r="M22" s="36">
        <v>0.5</v>
      </c>
      <c r="N22" s="34">
        <v>1.74</v>
      </c>
      <c r="O22" s="34">
        <v>23.34</v>
      </c>
      <c r="P22" s="6">
        <v>43</v>
      </c>
      <c r="Q22" s="36">
        <v>129.7</v>
      </c>
      <c r="R22" s="37">
        <v>6.83</v>
      </c>
      <c r="S22" s="36">
        <v>844.1</v>
      </c>
      <c r="T22" s="6">
        <v>1129</v>
      </c>
      <c r="U22" s="37">
        <v>38.43</v>
      </c>
      <c r="V22" s="6">
        <v>1306</v>
      </c>
      <c r="W22" s="37">
        <v>-35.46</v>
      </c>
      <c r="X22" s="6">
        <v>303</v>
      </c>
      <c r="Y22" s="35">
        <v>2.743</v>
      </c>
      <c r="AA22" s="27"/>
    </row>
    <row r="23" spans="1:25" ht="12.75">
      <c r="A23" s="6">
        <v>2023</v>
      </c>
      <c r="B23" s="53">
        <v>45189</v>
      </c>
      <c r="C23" s="37">
        <v>36.23</v>
      </c>
      <c r="D23" s="6">
        <v>1524</v>
      </c>
      <c r="E23" s="37">
        <v>22</v>
      </c>
      <c r="F23" s="6">
        <v>620</v>
      </c>
      <c r="G23" s="37">
        <v>28.56</v>
      </c>
      <c r="H23" s="37">
        <v>65.52</v>
      </c>
      <c r="I23" s="6">
        <v>620</v>
      </c>
      <c r="J23" s="37">
        <v>27.37</v>
      </c>
      <c r="K23" s="6">
        <v>1525</v>
      </c>
      <c r="L23" s="37">
        <v>43.48</v>
      </c>
      <c r="M23" s="38">
        <v>0</v>
      </c>
      <c r="N23" s="34">
        <v>2.68</v>
      </c>
      <c r="O23" s="34">
        <v>29.45</v>
      </c>
      <c r="P23" s="6">
        <v>854</v>
      </c>
      <c r="Q23" s="36">
        <v>152.6</v>
      </c>
      <c r="R23" s="37">
        <v>7.05</v>
      </c>
      <c r="S23" s="36">
        <v>824.7</v>
      </c>
      <c r="T23" s="6">
        <v>1204</v>
      </c>
      <c r="U23" s="6">
        <v>39.01</v>
      </c>
      <c r="V23" s="6">
        <v>1425</v>
      </c>
      <c r="W23" s="37">
        <v>-34.21</v>
      </c>
      <c r="X23" s="6">
        <v>243</v>
      </c>
      <c r="Y23" s="6">
        <v>2.728</v>
      </c>
    </row>
    <row r="24" spans="1:25" ht="12.75">
      <c r="A24" s="6">
        <v>2023</v>
      </c>
      <c r="B24" s="53">
        <v>45190</v>
      </c>
      <c r="C24" s="6">
        <v>35.79</v>
      </c>
      <c r="D24" s="6">
        <v>1434</v>
      </c>
      <c r="E24" s="6">
        <v>21.72</v>
      </c>
      <c r="F24" s="6">
        <v>659</v>
      </c>
      <c r="G24" s="37">
        <v>28.78</v>
      </c>
      <c r="H24" s="37">
        <v>66.49</v>
      </c>
      <c r="I24" s="6">
        <v>702</v>
      </c>
      <c r="J24" s="37">
        <v>29.18</v>
      </c>
      <c r="K24" s="6">
        <v>1439</v>
      </c>
      <c r="L24" s="37">
        <v>46.15</v>
      </c>
      <c r="M24" s="6">
        <v>0</v>
      </c>
      <c r="N24" s="34">
        <v>2.15</v>
      </c>
      <c r="O24" s="34">
        <v>24.14</v>
      </c>
      <c r="P24" s="6">
        <v>1129</v>
      </c>
      <c r="Q24" s="36">
        <v>151.2</v>
      </c>
      <c r="R24" s="37">
        <v>7.16</v>
      </c>
      <c r="S24" s="36">
        <v>828.1</v>
      </c>
      <c r="T24" s="6">
        <v>1324</v>
      </c>
      <c r="U24" s="37">
        <v>63.81</v>
      </c>
      <c r="V24" s="6">
        <v>1423</v>
      </c>
      <c r="W24" s="37">
        <v>-47.53</v>
      </c>
      <c r="X24" s="6">
        <v>141</v>
      </c>
      <c r="Y24" s="35">
        <v>3.259</v>
      </c>
    </row>
    <row r="25" spans="1:25" ht="12.75">
      <c r="A25" s="6">
        <v>2023</v>
      </c>
      <c r="B25" s="53">
        <v>45191</v>
      </c>
      <c r="C25" s="37">
        <v>36.78</v>
      </c>
      <c r="D25" s="6">
        <v>1614</v>
      </c>
      <c r="E25" s="37">
        <v>22.39</v>
      </c>
      <c r="F25" s="6">
        <v>307</v>
      </c>
      <c r="G25" s="37">
        <v>29.28</v>
      </c>
      <c r="H25" s="37">
        <v>70.02</v>
      </c>
      <c r="I25" s="6">
        <v>415</v>
      </c>
      <c r="J25" s="37">
        <v>28.49</v>
      </c>
      <c r="K25" s="6">
        <v>1615</v>
      </c>
      <c r="L25" s="37">
        <v>47.33</v>
      </c>
      <c r="M25" s="6">
        <v>0</v>
      </c>
      <c r="N25" s="34">
        <v>2.14</v>
      </c>
      <c r="O25" s="34">
        <v>32.02</v>
      </c>
      <c r="P25" s="6">
        <v>1044</v>
      </c>
      <c r="Q25" s="36">
        <v>49.1</v>
      </c>
      <c r="R25" s="37">
        <v>7.32</v>
      </c>
      <c r="S25" s="36">
        <v>828.6</v>
      </c>
      <c r="T25" s="6">
        <v>1203</v>
      </c>
      <c r="U25" s="37">
        <v>63.62</v>
      </c>
      <c r="V25" s="6">
        <v>1441</v>
      </c>
      <c r="W25" s="6">
        <v>-46.63</v>
      </c>
      <c r="X25" s="6">
        <v>247.2</v>
      </c>
      <c r="Y25" s="35">
        <v>2.93</v>
      </c>
    </row>
    <row r="26" spans="1:26" ht="12.75">
      <c r="A26" s="6">
        <v>2023</v>
      </c>
      <c r="B26" s="53">
        <v>45192</v>
      </c>
      <c r="C26" s="37">
        <v>37.22</v>
      </c>
      <c r="D26" s="6">
        <v>1529</v>
      </c>
      <c r="E26" s="37">
        <v>23.39</v>
      </c>
      <c r="F26" s="6">
        <v>553</v>
      </c>
      <c r="G26" s="37">
        <v>29.61</v>
      </c>
      <c r="H26" s="37">
        <v>69.28</v>
      </c>
      <c r="I26" s="6">
        <v>602</v>
      </c>
      <c r="J26" s="37">
        <v>30.01</v>
      </c>
      <c r="K26" s="6">
        <v>1542</v>
      </c>
      <c r="L26" s="37">
        <v>48.16</v>
      </c>
      <c r="M26" s="6">
        <v>0</v>
      </c>
      <c r="N26" s="34">
        <v>2.28</v>
      </c>
      <c r="O26" s="34">
        <v>30.57</v>
      </c>
      <c r="P26" s="6">
        <v>1654</v>
      </c>
      <c r="Q26" s="36">
        <v>118.5</v>
      </c>
      <c r="R26" s="37">
        <v>7.28</v>
      </c>
      <c r="S26" s="36">
        <v>842.4</v>
      </c>
      <c r="T26" s="6">
        <v>1249</v>
      </c>
      <c r="U26" s="37">
        <v>65.22</v>
      </c>
      <c r="V26" s="6">
        <v>1414</v>
      </c>
      <c r="W26" s="37">
        <v>-23.59</v>
      </c>
      <c r="X26" s="6">
        <v>438</v>
      </c>
      <c r="Y26" s="35">
        <v>3.408</v>
      </c>
      <c r="Z26" s="32"/>
    </row>
    <row r="27" spans="1:25" ht="12.75">
      <c r="A27" s="6">
        <v>2023</v>
      </c>
      <c r="B27" s="53">
        <v>45193</v>
      </c>
      <c r="C27" s="37">
        <v>38.15</v>
      </c>
      <c r="D27" s="6">
        <v>1404</v>
      </c>
      <c r="E27" s="37">
        <v>23.41</v>
      </c>
      <c r="F27" s="6">
        <v>639</v>
      </c>
      <c r="G27" s="37">
        <v>31.33</v>
      </c>
      <c r="H27" s="37">
        <v>72</v>
      </c>
      <c r="I27" s="6">
        <v>639</v>
      </c>
      <c r="J27" s="6">
        <v>25.04</v>
      </c>
      <c r="K27" s="6">
        <v>1415</v>
      </c>
      <c r="L27" s="37">
        <v>44.42</v>
      </c>
      <c r="M27" s="38">
        <v>0</v>
      </c>
      <c r="N27" s="34">
        <v>1.79</v>
      </c>
      <c r="O27" s="34">
        <v>16.9</v>
      </c>
      <c r="P27" s="6">
        <v>1539</v>
      </c>
      <c r="Q27" s="36">
        <v>123.6</v>
      </c>
      <c r="R27" s="6">
        <v>7.21</v>
      </c>
      <c r="S27" s="36">
        <v>861.1</v>
      </c>
      <c r="T27" s="6">
        <v>1319</v>
      </c>
      <c r="U27" s="37">
        <v>57.21</v>
      </c>
      <c r="V27" s="6">
        <v>1440</v>
      </c>
      <c r="W27" s="6">
        <v>-47.2</v>
      </c>
      <c r="X27" s="6">
        <v>458</v>
      </c>
      <c r="Y27" s="35">
        <v>3.607</v>
      </c>
    </row>
    <row r="28" spans="1:26" ht="12.75">
      <c r="A28" s="6">
        <v>2023</v>
      </c>
      <c r="B28" s="53">
        <v>45194</v>
      </c>
      <c r="C28" s="37">
        <v>39.26</v>
      </c>
      <c r="D28" s="6">
        <v>1439</v>
      </c>
      <c r="E28" s="37">
        <v>23.39</v>
      </c>
      <c r="F28" s="6">
        <v>616</v>
      </c>
      <c r="G28" s="37">
        <v>32.22</v>
      </c>
      <c r="H28" s="37">
        <v>66.15</v>
      </c>
      <c r="I28" s="6">
        <v>615</v>
      </c>
      <c r="J28" s="37">
        <v>22.32</v>
      </c>
      <c r="K28" s="6">
        <v>1452</v>
      </c>
      <c r="L28" s="37">
        <v>39.17</v>
      </c>
      <c r="M28" s="6">
        <v>0</v>
      </c>
      <c r="N28" s="34">
        <v>1.03</v>
      </c>
      <c r="O28" s="34">
        <v>16.58</v>
      </c>
      <c r="P28" s="6">
        <v>1114</v>
      </c>
      <c r="Q28" s="36">
        <v>134.9</v>
      </c>
      <c r="R28" s="37">
        <v>7.45</v>
      </c>
      <c r="S28" s="36">
        <v>975.6</v>
      </c>
      <c r="T28" s="6">
        <v>1235</v>
      </c>
      <c r="U28" s="37">
        <v>32.41</v>
      </c>
      <c r="V28" s="6">
        <v>1255</v>
      </c>
      <c r="W28" s="6">
        <v>-42.96</v>
      </c>
      <c r="X28" s="6">
        <v>509</v>
      </c>
      <c r="Y28" s="39">
        <v>3.768</v>
      </c>
      <c r="Z28" s="27"/>
    </row>
    <row r="29" spans="1:26" ht="12.75">
      <c r="A29" s="6">
        <v>2023</v>
      </c>
      <c r="B29" s="53">
        <v>45195</v>
      </c>
      <c r="C29" s="37">
        <v>39.33</v>
      </c>
      <c r="D29" s="6">
        <v>1604</v>
      </c>
      <c r="E29" s="37">
        <v>23.76</v>
      </c>
      <c r="F29" s="6">
        <v>654</v>
      </c>
      <c r="G29" s="37">
        <v>31.85</v>
      </c>
      <c r="H29" s="37">
        <v>80.03</v>
      </c>
      <c r="I29" s="6">
        <v>701</v>
      </c>
      <c r="J29" s="6">
        <v>25.16</v>
      </c>
      <c r="K29" s="6">
        <v>1605</v>
      </c>
      <c r="L29" s="37">
        <v>48.41</v>
      </c>
      <c r="M29" s="38">
        <v>0</v>
      </c>
      <c r="N29" s="34">
        <v>2.41</v>
      </c>
      <c r="O29" s="34">
        <v>26.23</v>
      </c>
      <c r="P29" s="6">
        <v>1614</v>
      </c>
      <c r="Q29" s="36">
        <v>167.3</v>
      </c>
      <c r="R29" s="6">
        <v>7.56</v>
      </c>
      <c r="S29" s="36">
        <v>867.6</v>
      </c>
      <c r="T29" s="6">
        <v>1349</v>
      </c>
      <c r="U29" s="37">
        <v>45.37</v>
      </c>
      <c r="V29" s="6">
        <v>1331</v>
      </c>
      <c r="W29" s="37">
        <v>-11.67</v>
      </c>
      <c r="X29" s="6">
        <v>554</v>
      </c>
      <c r="Y29" s="35">
        <v>3.858</v>
      </c>
      <c r="Z29" s="27"/>
    </row>
    <row r="30" spans="1:25" ht="12.75">
      <c r="A30" s="6">
        <v>2023</v>
      </c>
      <c r="B30" s="53">
        <v>45196</v>
      </c>
      <c r="C30" s="37">
        <v>36.28</v>
      </c>
      <c r="D30" s="6">
        <v>1154</v>
      </c>
      <c r="E30" s="37">
        <v>22.78</v>
      </c>
      <c r="F30" s="6">
        <v>302</v>
      </c>
      <c r="G30" s="37">
        <v>28.29</v>
      </c>
      <c r="H30" s="37">
        <v>92.05</v>
      </c>
      <c r="I30" s="6">
        <v>412</v>
      </c>
      <c r="J30" s="37">
        <v>39.34</v>
      </c>
      <c r="K30" s="6">
        <v>1207</v>
      </c>
      <c r="L30" s="37">
        <v>64.15</v>
      </c>
      <c r="M30" s="38">
        <v>0</v>
      </c>
      <c r="N30" s="34">
        <v>2.73</v>
      </c>
      <c r="O30" s="34">
        <v>45.06</v>
      </c>
      <c r="P30" s="6">
        <v>1249</v>
      </c>
      <c r="Q30" s="36">
        <v>302.5</v>
      </c>
      <c r="R30" s="37">
        <v>7.02</v>
      </c>
      <c r="S30" s="36">
        <v>848.9</v>
      </c>
      <c r="T30" s="6">
        <v>1213</v>
      </c>
      <c r="U30" s="37">
        <v>53.87</v>
      </c>
      <c r="V30" s="6">
        <v>1256</v>
      </c>
      <c r="W30" s="37">
        <v>-196.9</v>
      </c>
      <c r="X30" s="6">
        <v>2244</v>
      </c>
      <c r="Y30" s="35">
        <v>3.01</v>
      </c>
    </row>
    <row r="31" spans="1:25" ht="12.75">
      <c r="A31" s="6">
        <v>2023</v>
      </c>
      <c r="B31" s="53">
        <v>45197</v>
      </c>
      <c r="C31" s="37">
        <v>29.62</v>
      </c>
      <c r="D31" s="6">
        <v>1414</v>
      </c>
      <c r="E31" s="6">
        <v>19.73</v>
      </c>
      <c r="F31" s="6">
        <v>609</v>
      </c>
      <c r="G31" s="37">
        <v>24.33</v>
      </c>
      <c r="H31" s="37">
        <v>96.22</v>
      </c>
      <c r="I31" s="6">
        <v>611</v>
      </c>
      <c r="J31" s="37">
        <v>59.11</v>
      </c>
      <c r="K31" s="6">
        <v>1423</v>
      </c>
      <c r="L31" s="37">
        <v>78.27</v>
      </c>
      <c r="M31" s="38">
        <v>0</v>
      </c>
      <c r="N31" s="34">
        <v>3.49</v>
      </c>
      <c r="O31" s="34">
        <v>32.35</v>
      </c>
      <c r="P31" s="6">
        <v>2239</v>
      </c>
      <c r="Q31" s="36">
        <v>232.6</v>
      </c>
      <c r="R31" s="37">
        <v>6.74</v>
      </c>
      <c r="S31" s="36">
        <v>947.9</v>
      </c>
      <c r="T31" s="6">
        <v>1219</v>
      </c>
      <c r="U31" s="37">
        <v>50.37</v>
      </c>
      <c r="V31" s="6">
        <v>1315</v>
      </c>
      <c r="W31" s="37">
        <v>-16.97</v>
      </c>
      <c r="X31" s="6">
        <v>2359</v>
      </c>
      <c r="Y31" s="35">
        <v>2.016</v>
      </c>
    </row>
    <row r="32" spans="1:25" ht="12.75">
      <c r="A32" s="6">
        <v>2023</v>
      </c>
      <c r="B32" s="53">
        <v>45198</v>
      </c>
      <c r="C32" s="37">
        <v>33.74</v>
      </c>
      <c r="D32" s="6">
        <v>1518</v>
      </c>
      <c r="E32" s="37">
        <v>17.28</v>
      </c>
      <c r="F32" s="6">
        <v>604</v>
      </c>
      <c r="G32" s="37">
        <v>25.22</v>
      </c>
      <c r="H32" s="37">
        <v>84.96</v>
      </c>
      <c r="I32" s="6">
        <v>605</v>
      </c>
      <c r="J32" s="37">
        <v>40.87</v>
      </c>
      <c r="K32" s="6">
        <v>1520</v>
      </c>
      <c r="L32" s="37">
        <v>65.91</v>
      </c>
      <c r="M32" s="6">
        <v>0</v>
      </c>
      <c r="N32" s="34">
        <v>3.8</v>
      </c>
      <c r="O32" s="34">
        <v>33.4</v>
      </c>
      <c r="P32" s="6">
        <v>244</v>
      </c>
      <c r="Q32" s="36">
        <v>135.8</v>
      </c>
      <c r="R32" s="37">
        <v>6.98</v>
      </c>
      <c r="S32" s="36">
        <v>799</v>
      </c>
      <c r="T32" s="6">
        <v>1319</v>
      </c>
      <c r="U32" s="37">
        <v>62.91</v>
      </c>
      <c r="V32" s="6">
        <v>1428</v>
      </c>
      <c r="W32" s="37">
        <v>-44.2</v>
      </c>
      <c r="X32" s="6">
        <v>2305</v>
      </c>
      <c r="Y32" s="35">
        <v>3.398</v>
      </c>
    </row>
    <row r="33" spans="1:25" ht="12.75">
      <c r="A33" s="6">
        <v>2023</v>
      </c>
      <c r="B33" s="53">
        <v>45199</v>
      </c>
      <c r="C33" s="37">
        <v>35.11</v>
      </c>
      <c r="D33" s="6"/>
      <c r="E33" s="6">
        <v>20.89</v>
      </c>
      <c r="F33" s="6"/>
      <c r="G33" s="37">
        <v>27.28</v>
      </c>
      <c r="H33" s="37">
        <v>86.12</v>
      </c>
      <c r="I33" s="6"/>
      <c r="J33" s="37">
        <v>39.42</v>
      </c>
      <c r="K33" s="6"/>
      <c r="L33" s="37">
        <v>66.02</v>
      </c>
      <c r="M33" s="38">
        <v>0</v>
      </c>
      <c r="N33" s="34">
        <v>1.83</v>
      </c>
      <c r="O33" s="34">
        <v>33.8</v>
      </c>
      <c r="P33" s="6"/>
      <c r="Q33" s="36">
        <v>141.7</v>
      </c>
      <c r="R33" s="37">
        <v>7.05</v>
      </c>
      <c r="S33" s="36">
        <v>947.4</v>
      </c>
      <c r="T33" s="6">
        <v>1214</v>
      </c>
      <c r="U33" s="6">
        <v>39.01</v>
      </c>
      <c r="V33" s="6">
        <v>1425</v>
      </c>
      <c r="W33" s="37">
        <v>-34.21</v>
      </c>
      <c r="X33" s="6">
        <v>243</v>
      </c>
      <c r="Y33" s="6">
        <v>3.476</v>
      </c>
    </row>
    <row r="34" spans="3:25" ht="12.75">
      <c r="C34" s="40">
        <f>AVERAGE(C4:C33)</f>
        <v>33.55833333333333</v>
      </c>
      <c r="D34" s="33"/>
      <c r="E34" s="40">
        <f>AVERAGE(E4:E33)</f>
        <v>19.931666666666665</v>
      </c>
      <c r="F34" s="33"/>
      <c r="G34" s="40">
        <f>AVERAGE(G4:G33)</f>
        <v>26.329</v>
      </c>
      <c r="H34" s="40">
        <f>AVERAGE(H4:H33)</f>
        <v>82.36500000000001</v>
      </c>
      <c r="I34" s="33"/>
      <c r="J34" s="40">
        <f>AVERAGE(J4:J33)</f>
        <v>36.2</v>
      </c>
      <c r="K34" s="33"/>
      <c r="L34" s="40">
        <f>AVERAGE(L4:L33)</f>
        <v>58.908000000000015</v>
      </c>
      <c r="M34" s="41">
        <f>SUM(M4:M33)</f>
        <v>36.1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41">
        <f>SUM(Y4:Y33)</f>
        <v>72.339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68" r:id="rId1"/>
  <headerFooter alignWithMargins="0">
    <oddHeader>&amp;CDADOS METEOROLÓGICOS - ESTAÇÃO EXPERIMENTAL DE CITRICULTURA DE BEBEDOURO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zoomScale="75" zoomScaleSheetLayoutView="75" zoomScalePageLayoutView="0" workbookViewId="0" topLeftCell="B2">
      <selection activeCell="C34" sqref="C34"/>
    </sheetView>
  </sheetViews>
  <sheetFormatPr defaultColWidth="9.140625" defaultRowHeight="12.75"/>
  <cols>
    <col min="1" max="1" width="7.28125" style="0" customWidth="1"/>
    <col min="2" max="2" width="9.003906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28125" style="0" customWidth="1"/>
    <col min="13" max="13" width="7.28125" style="0" customWidth="1"/>
    <col min="14" max="14" width="8.7109375" style="0" customWidth="1"/>
    <col min="16" max="16" width="6.7109375" style="0" customWidth="1"/>
    <col min="17" max="17" width="7.421875" style="0" customWidth="1"/>
    <col min="18" max="18" width="7.7109375" style="0" customWidth="1"/>
    <col min="19" max="19" width="8.7109375" style="0" customWidth="1"/>
    <col min="20" max="20" width="8.00390625" style="0" customWidth="1"/>
    <col min="21" max="21" width="8.281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70">
        <v>39448</v>
      </c>
      <c r="B1" s="70"/>
      <c r="C1" s="8">
        <v>1</v>
      </c>
      <c r="E1">
        <v>3.6</v>
      </c>
    </row>
    <row r="2" spans="1:25" ht="30">
      <c r="A2" s="71" t="s">
        <v>12</v>
      </c>
      <c r="B2" s="71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48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72"/>
      <c r="B3" s="72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2023</v>
      </c>
      <c r="B4" s="53">
        <v>45200</v>
      </c>
      <c r="C4" s="36">
        <v>31.29</v>
      </c>
      <c r="D4" s="6">
        <v>1429</v>
      </c>
      <c r="E4" s="36">
        <v>20.72</v>
      </c>
      <c r="F4" s="6">
        <v>415</v>
      </c>
      <c r="G4" s="36">
        <v>24.89</v>
      </c>
      <c r="H4" s="36">
        <v>99.03</v>
      </c>
      <c r="I4" s="6">
        <v>446</v>
      </c>
      <c r="J4" s="36">
        <v>57.74</v>
      </c>
      <c r="K4" s="6">
        <v>1433</v>
      </c>
      <c r="L4" s="36">
        <v>82.91</v>
      </c>
      <c r="M4" s="36">
        <v>40.1</v>
      </c>
      <c r="N4" s="43">
        <v>2.1</v>
      </c>
      <c r="O4" s="43">
        <v>39.27</v>
      </c>
      <c r="P4" s="6">
        <v>1839</v>
      </c>
      <c r="Q4" s="36">
        <v>42.5</v>
      </c>
      <c r="R4" s="37">
        <v>6.11</v>
      </c>
      <c r="S4" s="36">
        <v>1159.5</v>
      </c>
      <c r="T4" s="6">
        <v>1119</v>
      </c>
      <c r="U4" s="37">
        <v>34.38</v>
      </c>
      <c r="V4" s="6">
        <v>1352</v>
      </c>
      <c r="W4" s="6">
        <v>-102.2</v>
      </c>
      <c r="X4" s="6">
        <v>2222</v>
      </c>
      <c r="Y4" s="35">
        <v>1.772</v>
      </c>
    </row>
    <row r="5" spans="1:25" ht="12.75">
      <c r="A5" s="6">
        <v>2023</v>
      </c>
      <c r="B5" s="53">
        <v>45201</v>
      </c>
      <c r="C5" s="36">
        <v>31.4</v>
      </c>
      <c r="D5" s="6">
        <v>1424</v>
      </c>
      <c r="E5" s="36">
        <v>20.5</v>
      </c>
      <c r="F5" s="6">
        <v>305</v>
      </c>
      <c r="G5" s="36">
        <v>24.62</v>
      </c>
      <c r="H5" s="36">
        <v>99.05</v>
      </c>
      <c r="I5" s="6">
        <v>323</v>
      </c>
      <c r="J5" s="36">
        <v>57.62</v>
      </c>
      <c r="K5" s="6">
        <v>1437</v>
      </c>
      <c r="L5" s="36">
        <v>84.02</v>
      </c>
      <c r="M5" s="36">
        <v>5.2</v>
      </c>
      <c r="N5" s="43">
        <v>2.01</v>
      </c>
      <c r="O5" s="43">
        <v>52.63</v>
      </c>
      <c r="P5" s="6">
        <v>1834</v>
      </c>
      <c r="Q5" s="36">
        <v>52.4</v>
      </c>
      <c r="R5" s="37">
        <v>6.29</v>
      </c>
      <c r="S5" s="36">
        <v>1070.6</v>
      </c>
      <c r="T5" s="6">
        <v>1309</v>
      </c>
      <c r="U5" s="37">
        <v>36.46</v>
      </c>
      <c r="V5" s="6">
        <v>1437</v>
      </c>
      <c r="W5" s="34">
        <v>-49.89</v>
      </c>
      <c r="X5" s="6">
        <v>2224</v>
      </c>
      <c r="Y5" s="35">
        <v>1.766</v>
      </c>
    </row>
    <row r="6" spans="1:25" ht="12.75">
      <c r="A6" s="6">
        <v>2023</v>
      </c>
      <c r="B6" s="53">
        <v>45202</v>
      </c>
      <c r="C6" s="36">
        <v>34.89</v>
      </c>
      <c r="D6" s="6">
        <v>1522</v>
      </c>
      <c r="E6" s="36">
        <v>21</v>
      </c>
      <c r="F6" s="6">
        <v>609</v>
      </c>
      <c r="G6" s="36">
        <v>27.17</v>
      </c>
      <c r="H6" s="36">
        <v>97.83</v>
      </c>
      <c r="I6" s="6">
        <v>612</v>
      </c>
      <c r="J6" s="36">
        <v>42.94</v>
      </c>
      <c r="K6" s="6">
        <v>1525</v>
      </c>
      <c r="L6" s="36">
        <v>70.68</v>
      </c>
      <c r="M6" s="36">
        <v>0</v>
      </c>
      <c r="N6" s="43">
        <v>1.83</v>
      </c>
      <c r="O6" s="43">
        <v>23.01</v>
      </c>
      <c r="P6" s="6">
        <v>1034</v>
      </c>
      <c r="Q6" s="36">
        <v>64.1</v>
      </c>
      <c r="R6" s="37">
        <v>7.17</v>
      </c>
      <c r="S6" s="36">
        <v>948.2</v>
      </c>
      <c r="T6" s="6">
        <v>1219</v>
      </c>
      <c r="U6" s="37">
        <v>25.61</v>
      </c>
      <c r="V6" s="6">
        <v>1248</v>
      </c>
      <c r="W6" s="6">
        <v>-46.68</v>
      </c>
      <c r="X6" s="6">
        <v>2244</v>
      </c>
      <c r="Y6" s="35">
        <v>3.842</v>
      </c>
    </row>
    <row r="7" spans="1:25" ht="12.75">
      <c r="A7" s="6">
        <v>2023</v>
      </c>
      <c r="B7" s="53">
        <v>45203</v>
      </c>
      <c r="C7" s="36">
        <v>34.22</v>
      </c>
      <c r="D7" s="6">
        <v>1429</v>
      </c>
      <c r="E7" s="36">
        <v>22.39</v>
      </c>
      <c r="F7" s="6">
        <v>601</v>
      </c>
      <c r="G7" s="36">
        <v>27.28</v>
      </c>
      <c r="H7" s="36">
        <v>91.16</v>
      </c>
      <c r="I7" s="6">
        <v>610</v>
      </c>
      <c r="J7" s="36">
        <v>41.92</v>
      </c>
      <c r="K7" s="6">
        <v>1442</v>
      </c>
      <c r="L7" s="36">
        <v>70.24</v>
      </c>
      <c r="M7" s="36">
        <v>2.3</v>
      </c>
      <c r="N7" s="43">
        <v>2.46</v>
      </c>
      <c r="O7" s="43">
        <v>44.58</v>
      </c>
      <c r="P7" s="6">
        <v>1504</v>
      </c>
      <c r="Q7" s="36">
        <v>65.7</v>
      </c>
      <c r="R7" s="37">
        <v>7.22</v>
      </c>
      <c r="S7" s="36">
        <v>970.4</v>
      </c>
      <c r="T7" s="6">
        <v>1244</v>
      </c>
      <c r="U7" s="37">
        <v>25.31</v>
      </c>
      <c r="V7" s="6">
        <v>1257</v>
      </c>
      <c r="W7" s="37">
        <v>-45.18</v>
      </c>
      <c r="X7" s="6">
        <v>333</v>
      </c>
      <c r="Y7" s="35">
        <v>3.517</v>
      </c>
    </row>
    <row r="8" spans="1:25" ht="12.75">
      <c r="A8" s="6">
        <v>2023</v>
      </c>
      <c r="B8" s="53">
        <v>45204</v>
      </c>
      <c r="C8" s="36">
        <v>35.39</v>
      </c>
      <c r="D8" s="6">
        <v>1349</v>
      </c>
      <c r="E8" s="36">
        <v>23.89</v>
      </c>
      <c r="F8" s="6">
        <v>256</v>
      </c>
      <c r="G8" s="36">
        <v>29.33</v>
      </c>
      <c r="H8" s="36">
        <v>85.32</v>
      </c>
      <c r="I8" s="6">
        <v>318</v>
      </c>
      <c r="J8" s="36">
        <v>41.18</v>
      </c>
      <c r="K8" s="6">
        <v>1402</v>
      </c>
      <c r="L8" s="36">
        <v>64.29</v>
      </c>
      <c r="M8" s="36">
        <v>0</v>
      </c>
      <c r="N8" s="43">
        <v>3.04</v>
      </c>
      <c r="O8" s="43">
        <v>37.01</v>
      </c>
      <c r="P8" s="6">
        <v>1454</v>
      </c>
      <c r="Q8" s="36">
        <v>323.4</v>
      </c>
      <c r="R8" s="37">
        <v>7.54</v>
      </c>
      <c r="S8" s="36">
        <v>999</v>
      </c>
      <c r="T8" s="6">
        <v>1206</v>
      </c>
      <c r="U8" s="37">
        <v>30.17</v>
      </c>
      <c r="V8" s="6">
        <v>1251</v>
      </c>
      <c r="W8" s="37">
        <v>-40.71</v>
      </c>
      <c r="X8" s="6">
        <v>2219</v>
      </c>
      <c r="Y8" s="35">
        <v>3.329</v>
      </c>
    </row>
    <row r="9" spans="1:25" ht="12.75">
      <c r="A9" s="6">
        <v>2023</v>
      </c>
      <c r="B9" s="53">
        <v>45205</v>
      </c>
      <c r="C9" s="36">
        <v>35.78</v>
      </c>
      <c r="D9" s="6">
        <v>1522</v>
      </c>
      <c r="E9" s="36">
        <v>23.39</v>
      </c>
      <c r="F9" s="6">
        <v>642</v>
      </c>
      <c r="G9" s="36">
        <v>28.5</v>
      </c>
      <c r="H9" s="36">
        <v>89.46</v>
      </c>
      <c r="I9" s="6">
        <v>645</v>
      </c>
      <c r="J9" s="36">
        <v>46.31</v>
      </c>
      <c r="K9" s="6">
        <v>1531</v>
      </c>
      <c r="L9" s="36">
        <v>70.16</v>
      </c>
      <c r="M9" s="36">
        <v>0.3</v>
      </c>
      <c r="N9" s="43">
        <v>1.83</v>
      </c>
      <c r="O9" s="43">
        <v>20.92</v>
      </c>
      <c r="P9" s="6">
        <v>2309</v>
      </c>
      <c r="Q9" s="36">
        <v>49.2</v>
      </c>
      <c r="R9" s="37">
        <v>7.62</v>
      </c>
      <c r="S9" s="36">
        <v>891.5</v>
      </c>
      <c r="T9" s="6">
        <v>1253</v>
      </c>
      <c r="U9" s="37">
        <v>53.87</v>
      </c>
      <c r="V9" s="6">
        <v>1256</v>
      </c>
      <c r="W9" s="37">
        <v>-196.9</v>
      </c>
      <c r="X9" s="6">
        <v>2244</v>
      </c>
      <c r="Y9" s="35">
        <v>3.01</v>
      </c>
    </row>
    <row r="10" spans="1:25" ht="12.75">
      <c r="A10" s="6">
        <v>2023</v>
      </c>
      <c r="B10" s="53">
        <v>45206</v>
      </c>
      <c r="C10" s="36">
        <v>34.02</v>
      </c>
      <c r="D10" s="6">
        <v>1444</v>
      </c>
      <c r="E10" s="36">
        <v>24.37</v>
      </c>
      <c r="F10" s="6">
        <v>434</v>
      </c>
      <c r="G10" s="36">
        <v>27.82</v>
      </c>
      <c r="H10" s="36">
        <v>85.11</v>
      </c>
      <c r="I10" s="6">
        <v>439</v>
      </c>
      <c r="J10" s="36">
        <v>44.24</v>
      </c>
      <c r="K10" s="6">
        <v>1452</v>
      </c>
      <c r="L10" s="36">
        <v>71.32</v>
      </c>
      <c r="M10" s="36">
        <v>0</v>
      </c>
      <c r="N10" s="43">
        <v>3.31</v>
      </c>
      <c r="O10" s="43">
        <v>32.35</v>
      </c>
      <c r="P10" s="6">
        <v>959</v>
      </c>
      <c r="Q10" s="36">
        <v>5.6</v>
      </c>
      <c r="R10" s="37">
        <v>7.05</v>
      </c>
      <c r="S10" s="36">
        <v>927.3</v>
      </c>
      <c r="T10" s="6">
        <v>1329</v>
      </c>
      <c r="U10" s="37">
        <v>64.09</v>
      </c>
      <c r="V10" s="6">
        <v>1238</v>
      </c>
      <c r="W10" s="37">
        <v>-33.65</v>
      </c>
      <c r="X10" s="6">
        <v>404</v>
      </c>
      <c r="Y10" s="35">
        <v>3.048</v>
      </c>
    </row>
    <row r="11" spans="1:25" ht="12.75">
      <c r="A11" s="6">
        <v>2023</v>
      </c>
      <c r="B11" s="53">
        <v>45207</v>
      </c>
      <c r="C11" s="36">
        <v>33.23</v>
      </c>
      <c r="D11" s="6">
        <v>1545</v>
      </c>
      <c r="E11" s="36">
        <v>22</v>
      </c>
      <c r="F11" s="6">
        <v>623</v>
      </c>
      <c r="G11" s="36">
        <v>25.28</v>
      </c>
      <c r="H11" s="36">
        <v>99.23</v>
      </c>
      <c r="I11" s="6">
        <v>625</v>
      </c>
      <c r="J11" s="36">
        <v>46.41</v>
      </c>
      <c r="K11" s="6">
        <v>1558</v>
      </c>
      <c r="L11" s="36">
        <v>85.04</v>
      </c>
      <c r="M11" s="36">
        <v>5.3</v>
      </c>
      <c r="N11" s="43">
        <v>2.37</v>
      </c>
      <c r="O11" s="43">
        <v>37.5</v>
      </c>
      <c r="P11" s="6">
        <v>1648</v>
      </c>
      <c r="Q11" s="36">
        <v>77.4</v>
      </c>
      <c r="R11" s="37">
        <v>6.89</v>
      </c>
      <c r="S11" s="36">
        <v>983</v>
      </c>
      <c r="T11" s="6">
        <v>1304</v>
      </c>
      <c r="U11" s="37">
        <v>46.54</v>
      </c>
      <c r="V11" s="6">
        <v>1232</v>
      </c>
      <c r="W11" s="37">
        <v>-231.2</v>
      </c>
      <c r="X11" s="6">
        <v>2225</v>
      </c>
      <c r="Y11" s="35">
        <v>3.077</v>
      </c>
    </row>
    <row r="12" spans="1:25" ht="12.75">
      <c r="A12" s="6">
        <v>2023</v>
      </c>
      <c r="B12" s="53">
        <v>45208</v>
      </c>
      <c r="C12" s="36">
        <v>31.4</v>
      </c>
      <c r="D12" s="6">
        <v>1443</v>
      </c>
      <c r="E12" s="36">
        <v>18.32</v>
      </c>
      <c r="F12" s="6">
        <v>402</v>
      </c>
      <c r="G12" s="36">
        <v>22.2</v>
      </c>
      <c r="H12" s="36">
        <v>97.84</v>
      </c>
      <c r="I12" s="6">
        <v>400</v>
      </c>
      <c r="J12" s="36">
        <v>65.67</v>
      </c>
      <c r="K12" s="6">
        <v>1452</v>
      </c>
      <c r="L12" s="36">
        <v>82.17</v>
      </c>
      <c r="M12" s="36">
        <v>9.1</v>
      </c>
      <c r="N12" s="43">
        <v>2.24</v>
      </c>
      <c r="O12" s="43">
        <v>35.19</v>
      </c>
      <c r="P12" s="6">
        <v>1832</v>
      </c>
      <c r="Q12" s="36">
        <v>68.4</v>
      </c>
      <c r="R12" s="6">
        <v>6.02</v>
      </c>
      <c r="S12" s="36">
        <v>961</v>
      </c>
      <c r="T12" s="6">
        <v>1258</v>
      </c>
      <c r="U12" s="37">
        <v>19.72</v>
      </c>
      <c r="V12" s="6">
        <v>1420</v>
      </c>
      <c r="W12" s="37">
        <v>-40.67</v>
      </c>
      <c r="X12" s="6">
        <v>358</v>
      </c>
      <c r="Y12" s="35">
        <v>2.362</v>
      </c>
    </row>
    <row r="13" spans="1:25" ht="12.75">
      <c r="A13" s="6">
        <v>2023</v>
      </c>
      <c r="B13" s="53">
        <v>45209</v>
      </c>
      <c r="C13" s="36">
        <f>'[1]Planilha1'!C4</f>
        <v>33.388888888888886</v>
      </c>
      <c r="D13" s="6">
        <v>1559</v>
      </c>
      <c r="E13" s="36">
        <f>'[1]Planilha1'!E4</f>
        <v>18.388888888888886</v>
      </c>
      <c r="F13" s="6">
        <v>558</v>
      </c>
      <c r="G13" s="36">
        <f>'[1]Planilha1'!G4</f>
        <v>25.055555555555554</v>
      </c>
      <c r="H13" s="36">
        <f>'[1]Planilha1'!$H$4</f>
        <v>98.7</v>
      </c>
      <c r="I13" s="6">
        <v>558</v>
      </c>
      <c r="J13" s="36">
        <f>'[1]Planilha1'!I4</f>
        <v>40.8</v>
      </c>
      <c r="K13" s="6">
        <v>1603</v>
      </c>
      <c r="L13" s="36">
        <f>'[1]Planilha1'!J4</f>
        <v>72</v>
      </c>
      <c r="M13" s="36">
        <v>0.3</v>
      </c>
      <c r="N13" s="43">
        <f>'[1]Planilha1'!L4</f>
        <v>2.867225408028231</v>
      </c>
      <c r="O13" s="43">
        <f>'[1]Planilha1'!N4</f>
        <v>24.7786</v>
      </c>
      <c r="P13" s="6">
        <v>759</v>
      </c>
      <c r="Q13" s="36">
        <v>172.9</v>
      </c>
      <c r="R13" s="37">
        <v>7.23</v>
      </c>
      <c r="S13" s="36">
        <v>891.5</v>
      </c>
      <c r="T13" s="6">
        <v>1338</v>
      </c>
      <c r="U13" s="37">
        <v>36.01</v>
      </c>
      <c r="V13" s="6">
        <v>1147</v>
      </c>
      <c r="W13" s="37">
        <v>-16.94</v>
      </c>
      <c r="X13" s="6">
        <v>0</v>
      </c>
      <c r="Y13" s="33">
        <v>3.549</v>
      </c>
    </row>
    <row r="14" spans="1:26" ht="12.75">
      <c r="A14" s="6">
        <v>2023</v>
      </c>
      <c r="B14" s="53">
        <v>45210</v>
      </c>
      <c r="C14" s="36">
        <f>'[1]Planilha1'!C5</f>
        <v>35.77777777777778</v>
      </c>
      <c r="D14" s="6">
        <v>1509</v>
      </c>
      <c r="E14" s="36">
        <f>'[1]Planilha1'!E5</f>
        <v>20.11111111111111</v>
      </c>
      <c r="F14" s="6">
        <v>544</v>
      </c>
      <c r="G14" s="36">
        <f>'[1]Planilha1'!G5</f>
        <v>27.444444444444446</v>
      </c>
      <c r="H14" s="36">
        <f>'[1]Planilha1'!H5</f>
        <v>86.5</v>
      </c>
      <c r="I14" s="6">
        <v>551</v>
      </c>
      <c r="J14" s="36">
        <f>'[1]Planilha1'!I5</f>
        <v>41.1</v>
      </c>
      <c r="K14" s="6">
        <v>1512</v>
      </c>
      <c r="L14" s="36">
        <f>'[1]Planilha1'!J5</f>
        <v>65.1</v>
      </c>
      <c r="M14" s="36">
        <f>'[1]Planilha1'!$P$5</f>
        <v>0</v>
      </c>
      <c r="N14" s="43">
        <f>'[1]Planilha1'!L5</f>
        <v>2.779003087781209</v>
      </c>
      <c r="O14" s="43">
        <f>'[1]Planilha1'!N5</f>
        <v>24.456799999999998</v>
      </c>
      <c r="P14" s="6">
        <v>1209</v>
      </c>
      <c r="Q14" s="36">
        <v>142.1</v>
      </c>
      <c r="R14" s="37">
        <v>7.49</v>
      </c>
      <c r="S14" s="36">
        <v>981.3</v>
      </c>
      <c r="T14" s="6">
        <v>1214</v>
      </c>
      <c r="U14" s="37">
        <v>53.35</v>
      </c>
      <c r="V14" s="6">
        <v>1148</v>
      </c>
      <c r="W14" s="37">
        <v>-19.82</v>
      </c>
      <c r="X14" s="6">
        <v>557</v>
      </c>
      <c r="Y14" s="6">
        <v>2.151</v>
      </c>
      <c r="Z14" s="13"/>
    </row>
    <row r="15" spans="1:25" ht="12.75">
      <c r="A15" s="6">
        <v>2023</v>
      </c>
      <c r="B15" s="53">
        <v>45211</v>
      </c>
      <c r="C15" s="36">
        <f>'[1]Planilha1'!C6</f>
        <v>35.72222222222222</v>
      </c>
      <c r="D15" s="6">
        <v>1514</v>
      </c>
      <c r="E15" s="36">
        <f>'[1]Planilha1'!E6</f>
        <v>22.277777777777775</v>
      </c>
      <c r="F15" s="6">
        <v>509</v>
      </c>
      <c r="G15" s="36">
        <f>'[1]Planilha1'!G6</f>
        <v>27.055555555555557</v>
      </c>
      <c r="H15" s="36">
        <f>'[1]Planilha1'!H6</f>
        <v>94.3</v>
      </c>
      <c r="I15" s="6">
        <v>513</v>
      </c>
      <c r="J15" s="36">
        <f>'[1]Planilha1'!I6</f>
        <v>41.3</v>
      </c>
      <c r="K15" s="6">
        <v>1515</v>
      </c>
      <c r="L15" s="36">
        <f>'[1]Planilha1'!J6</f>
        <v>73.8</v>
      </c>
      <c r="M15" s="36">
        <v>3.2</v>
      </c>
      <c r="N15" s="43">
        <f>'[1]Planilha1'!L6</f>
        <v>3.573003970004411</v>
      </c>
      <c r="O15" s="43">
        <f>'[1]Planilha1'!N6</f>
        <v>43.6039</v>
      </c>
      <c r="P15" s="6">
        <v>1629</v>
      </c>
      <c r="Q15" s="36">
        <v>352.4</v>
      </c>
      <c r="R15" s="37">
        <v>7.36</v>
      </c>
      <c r="S15" s="36">
        <v>1061.9</v>
      </c>
      <c r="T15" s="6">
        <v>1250</v>
      </c>
      <c r="U15" s="37">
        <v>49.17</v>
      </c>
      <c r="V15" s="6">
        <v>1158</v>
      </c>
      <c r="W15" s="6">
        <v>-18.66</v>
      </c>
      <c r="X15" s="6">
        <v>554</v>
      </c>
      <c r="Y15" s="6">
        <v>3.986</v>
      </c>
    </row>
    <row r="16" spans="1:25" ht="12.75">
      <c r="A16" s="6">
        <v>2023</v>
      </c>
      <c r="B16" s="53">
        <v>45212</v>
      </c>
      <c r="C16" s="36">
        <f>'[1]Planilha1'!C7</f>
        <v>27.88888888888889</v>
      </c>
      <c r="D16" s="6">
        <v>1354</v>
      </c>
      <c r="E16" s="36">
        <f>'[1]Planilha1'!E7</f>
        <v>21.38888888888889</v>
      </c>
      <c r="F16" s="6">
        <v>636</v>
      </c>
      <c r="G16" s="36">
        <f>'[1]Planilha1'!G7</f>
        <v>24.111111111111114</v>
      </c>
      <c r="H16" s="36">
        <f>'[1]Planilha1'!H7</f>
        <v>99.1</v>
      </c>
      <c r="I16" s="6">
        <v>629</v>
      </c>
      <c r="J16" s="36">
        <f>'[1]Planilha1'!I7</f>
        <v>76.4</v>
      </c>
      <c r="K16" s="6">
        <v>1354</v>
      </c>
      <c r="L16" s="36">
        <f>'[1]Planilha1'!J7</f>
        <v>89.7</v>
      </c>
      <c r="M16" s="36">
        <v>5.4</v>
      </c>
      <c r="N16" s="43">
        <f>'[1]Planilha1'!L7</f>
        <v>1.9850022055580063</v>
      </c>
      <c r="O16" s="43">
        <f>'[1]Planilha1'!N7</f>
        <v>21.238799999999998</v>
      </c>
      <c r="P16" s="6">
        <v>4</v>
      </c>
      <c r="Q16" s="36">
        <v>92.6</v>
      </c>
      <c r="R16" s="6">
        <v>5.94</v>
      </c>
      <c r="S16" s="36">
        <v>771.2</v>
      </c>
      <c r="T16" s="6">
        <v>1224</v>
      </c>
      <c r="U16" s="37">
        <v>44.93</v>
      </c>
      <c r="V16" s="6">
        <v>1329</v>
      </c>
      <c r="W16" s="6">
        <v>-16.41</v>
      </c>
      <c r="X16" s="38">
        <v>613</v>
      </c>
      <c r="Y16" s="39">
        <v>3.776</v>
      </c>
    </row>
    <row r="17" spans="1:25" ht="12.75">
      <c r="A17" s="6">
        <v>2023</v>
      </c>
      <c r="B17" s="53">
        <v>45213</v>
      </c>
      <c r="C17" s="36">
        <f>'[1]Planilha1'!C8</f>
        <v>30.38888888888889</v>
      </c>
      <c r="D17" s="6">
        <v>1413</v>
      </c>
      <c r="E17" s="36">
        <f>'[1]Planilha1'!E8</f>
        <v>19.111111111111114</v>
      </c>
      <c r="F17" s="6">
        <v>534</v>
      </c>
      <c r="G17" s="36">
        <f>'[1]Planilha1'!G8</f>
        <v>23.88888888888889</v>
      </c>
      <c r="H17" s="36">
        <f>'[1]Planilha1'!H8</f>
        <v>97.2</v>
      </c>
      <c r="I17" s="6">
        <v>535</v>
      </c>
      <c r="J17" s="36">
        <f>'[1]Planilha1'!I8</f>
        <v>59.7</v>
      </c>
      <c r="K17" s="6">
        <v>1416</v>
      </c>
      <c r="L17" s="36">
        <f>'[1]Planilha1'!J8</f>
        <v>80.2</v>
      </c>
      <c r="M17" s="36">
        <f>'[1]Planilha1'!P8</f>
        <v>0</v>
      </c>
      <c r="N17" s="43">
        <f>'[1]Planilha1'!L8</f>
        <v>3.9700044111160127</v>
      </c>
      <c r="O17" s="43">
        <f>'[1]Planilha1'!N8</f>
        <v>32.340900000000005</v>
      </c>
      <c r="P17" s="6">
        <v>2254</v>
      </c>
      <c r="Q17" s="36">
        <v>182.7</v>
      </c>
      <c r="R17" s="6">
        <v>6.13</v>
      </c>
      <c r="S17" s="36">
        <v>945.7</v>
      </c>
      <c r="T17" s="6">
        <v>1228</v>
      </c>
      <c r="U17" s="37">
        <v>51.69</v>
      </c>
      <c r="V17" s="6">
        <v>1248</v>
      </c>
      <c r="W17" s="37">
        <v>-19.27</v>
      </c>
      <c r="X17" s="6">
        <v>606</v>
      </c>
      <c r="Y17" s="6">
        <v>3.884</v>
      </c>
    </row>
    <row r="18" spans="1:25" ht="12.75">
      <c r="A18" s="6">
        <v>2023</v>
      </c>
      <c r="B18" s="53">
        <v>45214</v>
      </c>
      <c r="C18" s="36">
        <f>'[1]Planilha1'!C9</f>
        <v>34.888888888888886</v>
      </c>
      <c r="D18" s="6">
        <v>1558</v>
      </c>
      <c r="E18" s="36">
        <f>'[1]Planilha1'!E9</f>
        <v>19.388888888888893</v>
      </c>
      <c r="F18" s="6">
        <v>537</v>
      </c>
      <c r="G18" s="36">
        <f>'[1]Planilha1'!G9</f>
        <v>26.22222222222222</v>
      </c>
      <c r="H18" s="36">
        <f>'[1]Planilha1'!H9</f>
        <v>95.3</v>
      </c>
      <c r="I18" s="6">
        <v>543</v>
      </c>
      <c r="J18" s="36">
        <f>'[1]Planilha1'!I9</f>
        <v>42.2</v>
      </c>
      <c r="K18" s="6">
        <v>1605</v>
      </c>
      <c r="L18" s="36">
        <f>'[1]Planilha1'!J9</f>
        <v>71.4</v>
      </c>
      <c r="M18" s="36">
        <f>'[1]Planilha1'!P9</f>
        <v>0</v>
      </c>
      <c r="N18" s="43">
        <f>'[1]Planilha1'!L9</f>
        <v>2.955447728275254</v>
      </c>
      <c r="O18" s="43">
        <f>'[1]Planilha1'!N9</f>
        <v>30.249200000000002</v>
      </c>
      <c r="P18" s="6">
        <v>1919</v>
      </c>
      <c r="Q18" s="36">
        <v>133.5</v>
      </c>
      <c r="R18" s="37">
        <v>7.05</v>
      </c>
      <c r="S18" s="36">
        <v>889.3</v>
      </c>
      <c r="T18" s="6">
        <v>1103</v>
      </c>
      <c r="U18" s="37">
        <v>38.03</v>
      </c>
      <c r="V18" s="6">
        <v>1323</v>
      </c>
      <c r="W18" s="37">
        <v>-52.61</v>
      </c>
      <c r="X18" s="6">
        <v>1905</v>
      </c>
      <c r="Y18" s="35">
        <v>4.002</v>
      </c>
    </row>
    <row r="19" spans="1:25" ht="12.75">
      <c r="A19" s="6">
        <v>2023</v>
      </c>
      <c r="B19" s="53">
        <v>45215</v>
      </c>
      <c r="C19" s="36">
        <f>'[1]Planilha1'!C10</f>
        <v>34.5</v>
      </c>
      <c r="D19" s="38">
        <v>1619</v>
      </c>
      <c r="E19" s="36">
        <f>'[1]Planilha1'!E10</f>
        <v>22.61111111111111</v>
      </c>
      <c r="F19" s="6">
        <v>409</v>
      </c>
      <c r="G19" s="36">
        <f>'[1]Planilha1'!G10</f>
        <v>28.333333333333332</v>
      </c>
      <c r="H19" s="36">
        <f>'[1]Planilha1'!H10</f>
        <v>90.4</v>
      </c>
      <c r="I19" s="6">
        <v>418</v>
      </c>
      <c r="J19" s="36">
        <f>'[1]Planilha1'!I10</f>
        <v>41.3</v>
      </c>
      <c r="K19" s="6">
        <v>1620</v>
      </c>
      <c r="L19" s="36">
        <f>'[1]Planilha1'!J10</f>
        <v>64.1</v>
      </c>
      <c r="M19" s="36">
        <f>'[1]Planilha1'!P10</f>
        <v>0</v>
      </c>
      <c r="N19" s="43">
        <f>'[1]Planilha1'!L10</f>
        <v>2.602558447287164</v>
      </c>
      <c r="O19" s="43">
        <f>'[1]Planilha1'!N10</f>
        <v>31.3755</v>
      </c>
      <c r="P19" s="6">
        <v>1018</v>
      </c>
      <c r="Q19" s="36">
        <v>43.3</v>
      </c>
      <c r="R19" s="6">
        <v>7.11</v>
      </c>
      <c r="S19" s="36">
        <v>1015.5</v>
      </c>
      <c r="T19" s="6">
        <v>1054</v>
      </c>
      <c r="U19" s="37">
        <v>53.35</v>
      </c>
      <c r="V19" s="6">
        <v>1148</v>
      </c>
      <c r="W19" s="37">
        <v>-19.82</v>
      </c>
      <c r="X19" s="6">
        <v>557</v>
      </c>
      <c r="Y19" s="35">
        <v>3.945</v>
      </c>
    </row>
    <row r="20" spans="1:25" ht="12.75">
      <c r="A20" s="6">
        <v>2023</v>
      </c>
      <c r="B20" s="53">
        <v>45216</v>
      </c>
      <c r="C20" s="36">
        <f>'[1]Planilha1'!C11</f>
        <v>35.111111111111114</v>
      </c>
      <c r="D20" s="6">
        <v>1518</v>
      </c>
      <c r="E20" s="36">
        <f>'[1]Planilha1'!E11</f>
        <v>22.277777777777775</v>
      </c>
      <c r="F20" s="6">
        <v>644</v>
      </c>
      <c r="G20" s="36">
        <f>'[1]Planilha1'!G11</f>
        <v>27.666666666666668</v>
      </c>
      <c r="H20" s="36">
        <f>'[1]Planilha1'!H11</f>
        <v>88.5</v>
      </c>
      <c r="I20" s="6">
        <v>559</v>
      </c>
      <c r="J20" s="36">
        <f>'[1]Planilha1'!I11</f>
        <v>34.1</v>
      </c>
      <c r="K20" s="6">
        <v>1519</v>
      </c>
      <c r="L20" s="36">
        <f>'[1]Planilha1'!J11</f>
        <v>66.2</v>
      </c>
      <c r="M20" s="36">
        <f>'[1]Planilha1'!P11</f>
        <v>0</v>
      </c>
      <c r="N20" s="43">
        <f>'[1]Planilha1'!L11</f>
        <v>3.1318923687692988</v>
      </c>
      <c r="O20" s="43">
        <f>'[1]Planilha1'!N11</f>
        <v>28.801099999999998</v>
      </c>
      <c r="P20" s="6">
        <v>554</v>
      </c>
      <c r="Q20" s="36">
        <v>142.1</v>
      </c>
      <c r="R20" s="37">
        <v>7.32</v>
      </c>
      <c r="S20" s="36">
        <v>994.7</v>
      </c>
      <c r="T20" s="6">
        <v>1124</v>
      </c>
      <c r="U20" s="37">
        <v>45.86</v>
      </c>
      <c r="V20" s="6">
        <v>1252</v>
      </c>
      <c r="W20" s="6">
        <v>-22.56</v>
      </c>
      <c r="X20" s="38">
        <v>32</v>
      </c>
      <c r="Y20" s="35">
        <v>3.108</v>
      </c>
    </row>
    <row r="21" spans="1:25" ht="12.75">
      <c r="A21" s="6">
        <v>2023</v>
      </c>
      <c r="B21" s="53">
        <v>45217</v>
      </c>
      <c r="C21" s="36">
        <f>'[1]Planilha1'!C12</f>
        <v>35.166666666666664</v>
      </c>
      <c r="D21" s="6">
        <v>1529</v>
      </c>
      <c r="E21" s="36">
        <f>'[1]Planilha1'!E12</f>
        <v>21.611111111111114</v>
      </c>
      <c r="F21" s="6">
        <v>829</v>
      </c>
      <c r="G21" s="36">
        <f>'[1]Planilha1'!G12</f>
        <v>26.77777777777778</v>
      </c>
      <c r="H21" s="36">
        <f>'[1]Planilha1'!H12</f>
        <v>96.8</v>
      </c>
      <c r="I21" s="6">
        <v>834</v>
      </c>
      <c r="J21" s="36">
        <f>'[1]Planilha1'!I12</f>
        <v>35.2</v>
      </c>
      <c r="K21" s="6">
        <v>1459</v>
      </c>
      <c r="L21" s="36">
        <f>'[1]Planilha1'!J12</f>
        <v>69.7</v>
      </c>
      <c r="M21" s="36">
        <v>2.1</v>
      </c>
      <c r="N21" s="43">
        <f>'[1]Planilha1'!L12</f>
        <v>2.955447728275254</v>
      </c>
      <c r="O21" s="43">
        <f>'[1]Planilha1'!N12</f>
        <v>38.937799999999996</v>
      </c>
      <c r="P21" s="6">
        <v>1249</v>
      </c>
      <c r="Q21" s="36">
        <v>146.4</v>
      </c>
      <c r="R21" s="37">
        <v>7.29</v>
      </c>
      <c r="S21" s="36">
        <v>988.2</v>
      </c>
      <c r="T21" s="6">
        <v>1259</v>
      </c>
      <c r="U21" s="37">
        <v>64.19</v>
      </c>
      <c r="V21" s="6">
        <v>1234</v>
      </c>
      <c r="W21" s="37">
        <v>-20.32</v>
      </c>
      <c r="X21" s="6">
        <v>535</v>
      </c>
      <c r="Y21" s="35">
        <v>3.351</v>
      </c>
    </row>
    <row r="22" spans="1:27" ht="12.75">
      <c r="A22" s="6">
        <v>2023</v>
      </c>
      <c r="B22" s="53">
        <v>45218</v>
      </c>
      <c r="C22" s="36">
        <f>'[1]Planilha1'!C13</f>
        <v>33.22222222222222</v>
      </c>
      <c r="D22" s="6">
        <v>1437</v>
      </c>
      <c r="E22" s="36">
        <f>'[1]Planilha1'!E13</f>
        <v>19.72222222222222</v>
      </c>
      <c r="F22" s="6">
        <v>554</v>
      </c>
      <c r="G22" s="36">
        <f>'[1]Planilha1'!G13</f>
        <v>25.833333333333332</v>
      </c>
      <c r="H22" s="36">
        <f>'[1]Planilha1'!H13</f>
        <v>89.9</v>
      </c>
      <c r="I22" s="6">
        <v>549</v>
      </c>
      <c r="J22" s="36">
        <f>'[1]Planilha1'!I13</f>
        <v>45.7</v>
      </c>
      <c r="K22" s="6">
        <v>1444</v>
      </c>
      <c r="L22" s="36">
        <f>'[1]Planilha1'!J13</f>
        <v>72.1</v>
      </c>
      <c r="M22" s="36">
        <f>'[1]Planilha1'!P13</f>
        <v>0</v>
      </c>
      <c r="N22" s="43">
        <f>'[1]Planilha1'!L13</f>
        <v>3.661226290251434</v>
      </c>
      <c r="O22" s="43">
        <f>'[1]Planilha1'!N13</f>
        <v>31.3755</v>
      </c>
      <c r="P22" s="6">
        <v>134</v>
      </c>
      <c r="Q22" s="36">
        <v>188.3</v>
      </c>
      <c r="R22" s="37">
        <v>6.34</v>
      </c>
      <c r="S22" s="36">
        <v>977.3</v>
      </c>
      <c r="T22" s="6">
        <v>1228</v>
      </c>
      <c r="U22" s="37">
        <v>73.2</v>
      </c>
      <c r="V22" s="6">
        <v>1340</v>
      </c>
      <c r="W22" s="37">
        <v>-22.52</v>
      </c>
      <c r="X22" s="6">
        <v>620</v>
      </c>
      <c r="Y22" s="35">
        <v>3.287</v>
      </c>
      <c r="AA22" s="27"/>
    </row>
    <row r="23" spans="1:25" ht="12.75">
      <c r="A23" s="6">
        <v>2023</v>
      </c>
      <c r="B23" s="53">
        <v>45219</v>
      </c>
      <c r="C23" s="36">
        <f>'[1]Planilha1'!C14</f>
        <v>30.444444444444443</v>
      </c>
      <c r="D23" s="6">
        <v>1624</v>
      </c>
      <c r="E23" s="36">
        <f>'[1]Planilha1'!E14</f>
        <v>18.111111111111107</v>
      </c>
      <c r="F23" s="6">
        <v>939</v>
      </c>
      <c r="G23" s="36">
        <f>'[1]Planilha1'!G14</f>
        <v>23.444444444444443</v>
      </c>
      <c r="H23" s="36">
        <f>'[1]Planilha1'!H14</f>
        <v>94.2</v>
      </c>
      <c r="I23" s="6">
        <v>934</v>
      </c>
      <c r="J23" s="36">
        <f>'[1]Planilha1'!I14</f>
        <v>50.1</v>
      </c>
      <c r="K23" s="6">
        <v>1619</v>
      </c>
      <c r="L23" s="36">
        <f>'[1]Planilha1'!J14</f>
        <v>77.8</v>
      </c>
      <c r="M23" s="36">
        <f>'[1]Planilha1'!P14</f>
        <v>0</v>
      </c>
      <c r="N23" s="43">
        <f>'[1]Planilha1'!L14</f>
        <v>3.0877812086457874</v>
      </c>
      <c r="O23" s="43">
        <f>'[1]Planilha1'!N14</f>
        <v>35.5589</v>
      </c>
      <c r="P23" s="6">
        <v>859</v>
      </c>
      <c r="Q23" s="36">
        <v>217.8</v>
      </c>
      <c r="R23" s="37">
        <v>5.96</v>
      </c>
      <c r="S23" s="36">
        <v>998.6</v>
      </c>
      <c r="T23" s="6">
        <v>124</v>
      </c>
      <c r="U23" s="37">
        <v>62.84</v>
      </c>
      <c r="V23" s="6">
        <v>1420</v>
      </c>
      <c r="W23" s="37">
        <v>-20.56</v>
      </c>
      <c r="X23" s="6">
        <v>630</v>
      </c>
      <c r="Y23" s="35">
        <v>2.714</v>
      </c>
    </row>
    <row r="24" spans="1:25" ht="12.75">
      <c r="A24" s="6">
        <v>2023</v>
      </c>
      <c r="B24" s="53">
        <v>45220</v>
      </c>
      <c r="C24" s="36">
        <f>'[1]Planilha1'!C15</f>
        <v>33.27777777777778</v>
      </c>
      <c r="D24" s="6">
        <v>1603</v>
      </c>
      <c r="E24" s="36">
        <f>'[1]Planilha1'!E15</f>
        <v>19.222222222222218</v>
      </c>
      <c r="F24" s="6">
        <v>544</v>
      </c>
      <c r="G24" s="36">
        <f>'[1]Planilha1'!G15</f>
        <v>25.833333333333332</v>
      </c>
      <c r="H24" s="36">
        <f>'[1]Planilha1'!H15</f>
        <v>93.4</v>
      </c>
      <c r="I24" s="6">
        <v>419</v>
      </c>
      <c r="J24" s="36">
        <f>'[1]Planilha1'!I15</f>
        <v>40.3</v>
      </c>
      <c r="K24" s="6">
        <v>1528</v>
      </c>
      <c r="L24" s="36">
        <f>'[1]Planilha1'!J15</f>
        <v>69.2</v>
      </c>
      <c r="M24" s="36">
        <f>'[1]Planilha1'!P15</f>
        <v>0</v>
      </c>
      <c r="N24" s="43">
        <f>'[1]Planilha1'!L15</f>
        <v>3.3965593295103664</v>
      </c>
      <c r="O24" s="43">
        <f>'[1]Planilha1'!N15</f>
        <v>34.9153</v>
      </c>
      <c r="P24" s="6">
        <v>2309</v>
      </c>
      <c r="Q24" s="36">
        <v>129.5</v>
      </c>
      <c r="R24" s="37">
        <v>6.47</v>
      </c>
      <c r="S24" s="36">
        <v>1026.4</v>
      </c>
      <c r="T24" s="6">
        <v>1133</v>
      </c>
      <c r="U24" s="37">
        <v>69.23</v>
      </c>
      <c r="V24" s="6">
        <v>1228</v>
      </c>
      <c r="W24" s="37">
        <v>-20.59</v>
      </c>
      <c r="X24" s="6">
        <v>431</v>
      </c>
      <c r="Y24" s="35">
        <v>3.277</v>
      </c>
    </row>
    <row r="25" spans="1:25" ht="12.75">
      <c r="A25" s="6">
        <v>2023</v>
      </c>
      <c r="B25" s="53">
        <v>45221</v>
      </c>
      <c r="C25" s="36">
        <f>'[1]Planilha1'!C16</f>
        <v>35.111111111111114</v>
      </c>
      <c r="D25" s="6">
        <v>1539</v>
      </c>
      <c r="E25" s="36">
        <f>'[1]Planilha1'!E16</f>
        <v>19.27777777777778</v>
      </c>
      <c r="F25" s="6">
        <v>538</v>
      </c>
      <c r="G25" s="36">
        <f>'[1]Planilha1'!G16</f>
        <v>26.833333333333332</v>
      </c>
      <c r="H25" s="36">
        <f>'[1]Planilha1'!H16</f>
        <v>92.8</v>
      </c>
      <c r="I25" s="6">
        <v>554</v>
      </c>
      <c r="J25" s="36">
        <f>'[1]Planilha1'!I16</f>
        <v>30.4</v>
      </c>
      <c r="K25" s="6">
        <v>1534</v>
      </c>
      <c r="L25" s="36">
        <f>'[1]Planilha1'!J16</f>
        <v>61.7</v>
      </c>
      <c r="M25" s="36">
        <f>'[1]Planilha1'!P16</f>
        <v>0</v>
      </c>
      <c r="N25" s="43">
        <f>'[1]Planilha1'!L16</f>
        <v>2.426113806793119</v>
      </c>
      <c r="O25" s="43">
        <f>'[1]Planilha1'!N16</f>
        <v>25.5831</v>
      </c>
      <c r="P25" s="6">
        <v>324</v>
      </c>
      <c r="Q25" s="36">
        <v>136.2</v>
      </c>
      <c r="R25" s="37">
        <v>6.89</v>
      </c>
      <c r="S25" s="36">
        <v>927.1</v>
      </c>
      <c r="T25" s="6">
        <v>1227</v>
      </c>
      <c r="U25" s="37">
        <v>48.59</v>
      </c>
      <c r="V25" s="6">
        <v>1250</v>
      </c>
      <c r="W25" s="37">
        <v>-96.5</v>
      </c>
      <c r="X25" s="6">
        <v>1756</v>
      </c>
      <c r="Y25" s="35">
        <v>4.108</v>
      </c>
    </row>
    <row r="26" spans="1:26" ht="12.75">
      <c r="A26" s="6">
        <v>2023</v>
      </c>
      <c r="B26" s="53">
        <v>45222</v>
      </c>
      <c r="C26" s="36">
        <f>'[1]Planilha1'!C17</f>
        <v>36.5</v>
      </c>
      <c r="D26" s="6">
        <v>1514</v>
      </c>
      <c r="E26" s="36">
        <f>'[1]Planilha1'!E17</f>
        <v>21.888888888888893</v>
      </c>
      <c r="F26" s="6">
        <v>349</v>
      </c>
      <c r="G26" s="36">
        <f>'[1]Planilha1'!G17</f>
        <v>28.944444444444443</v>
      </c>
      <c r="H26" s="36">
        <f>'[1]Planilha1'!H17</f>
        <v>76.3</v>
      </c>
      <c r="I26" s="6">
        <v>349</v>
      </c>
      <c r="J26" s="36">
        <f>'[1]Planilha1'!I17</f>
        <v>31.2</v>
      </c>
      <c r="K26" s="6">
        <v>1514</v>
      </c>
      <c r="L26" s="36">
        <f>'[1]Planilha1'!J17</f>
        <v>53.4</v>
      </c>
      <c r="M26" s="36">
        <f>'[1]Planilha1'!P17</f>
        <v>0</v>
      </c>
      <c r="N26" s="43">
        <f>'[1]Planilha1'!L17</f>
        <v>2.3820026466696076</v>
      </c>
      <c r="O26" s="43">
        <f>'[1]Planilha1'!N17</f>
        <v>22.3651</v>
      </c>
      <c r="P26" s="6">
        <v>1039</v>
      </c>
      <c r="Q26" s="36">
        <v>144.1</v>
      </c>
      <c r="R26" s="37">
        <v>7.13</v>
      </c>
      <c r="S26" s="36">
        <v>912.3</v>
      </c>
      <c r="T26" s="6">
        <v>1228</v>
      </c>
      <c r="U26" s="37">
        <v>53.87</v>
      </c>
      <c r="V26" s="6">
        <v>1256</v>
      </c>
      <c r="W26" s="37">
        <v>-196.9</v>
      </c>
      <c r="X26" s="6">
        <v>2244</v>
      </c>
      <c r="Y26" s="35">
        <v>4.319</v>
      </c>
      <c r="Z26" s="32"/>
    </row>
    <row r="27" spans="1:25" ht="12.75">
      <c r="A27" s="6">
        <v>2023</v>
      </c>
      <c r="B27" s="53">
        <v>45223</v>
      </c>
      <c r="C27" s="36">
        <f>'[1]Planilha1'!C18</f>
        <v>36.111111111111114</v>
      </c>
      <c r="D27" s="6">
        <v>1358</v>
      </c>
      <c r="E27" s="36">
        <f>'[1]Planilha1'!E18</f>
        <v>23.000000000000004</v>
      </c>
      <c r="F27" s="6">
        <v>553</v>
      </c>
      <c r="G27" s="36">
        <f>'[1]Planilha1'!G18</f>
        <v>28.88888888888889</v>
      </c>
      <c r="H27" s="36">
        <f>'[1]Planilha1'!H18</f>
        <v>81.2</v>
      </c>
      <c r="I27" s="6">
        <v>2349</v>
      </c>
      <c r="J27" s="36">
        <f>'[1]Planilha1'!I18</f>
        <v>32.3</v>
      </c>
      <c r="K27" s="6">
        <v>1348</v>
      </c>
      <c r="L27" s="36">
        <f>'[1]Planilha1'!J18</f>
        <v>54.8</v>
      </c>
      <c r="M27" s="36">
        <f>'[1]Planilha1'!P18</f>
        <v>0</v>
      </c>
      <c r="N27" s="43">
        <f>'[1]Planilha1'!L18</f>
        <v>3.7494486104984563</v>
      </c>
      <c r="O27" s="43">
        <f>'[1]Planilha1'!N18</f>
        <v>38.937799999999996</v>
      </c>
      <c r="P27" s="6">
        <v>2204</v>
      </c>
      <c r="Q27" s="36">
        <v>352.4</v>
      </c>
      <c r="R27" s="34">
        <v>7.15</v>
      </c>
      <c r="S27" s="36">
        <v>979.9</v>
      </c>
      <c r="T27" s="6">
        <v>1209</v>
      </c>
      <c r="U27" s="37">
        <v>47.63</v>
      </c>
      <c r="V27" s="6">
        <v>1221</v>
      </c>
      <c r="W27" s="6">
        <v>-26.64</v>
      </c>
      <c r="X27" s="6">
        <v>1919</v>
      </c>
      <c r="Y27" s="35">
        <v>3.424</v>
      </c>
    </row>
    <row r="28" spans="1:26" ht="12.75">
      <c r="A28" s="6">
        <v>2023</v>
      </c>
      <c r="B28" s="53">
        <v>45224</v>
      </c>
      <c r="C28" s="36">
        <f>'[1]Planilha1'!C19</f>
        <v>31.61111111111111</v>
      </c>
      <c r="D28" s="6">
        <v>1515</v>
      </c>
      <c r="E28" s="36">
        <f>'[1]Planilha1'!E19</f>
        <v>21.5</v>
      </c>
      <c r="F28" s="6">
        <v>534</v>
      </c>
      <c r="G28" s="36">
        <f>'[1]Planilha1'!G19</f>
        <v>26.666666666666668</v>
      </c>
      <c r="H28" s="36">
        <f>'[1]Planilha1'!H19</f>
        <v>95.7</v>
      </c>
      <c r="I28" s="6">
        <v>504</v>
      </c>
      <c r="J28" s="36">
        <f>'[1]Planilha1'!I19</f>
        <v>49.5</v>
      </c>
      <c r="K28" s="6">
        <v>1249</v>
      </c>
      <c r="L28" s="36">
        <f>'[1]Planilha1'!J19</f>
        <v>70.1</v>
      </c>
      <c r="M28" s="36">
        <f>'[1]Planilha1'!P19</f>
        <v>0</v>
      </c>
      <c r="N28" s="43">
        <f>'[1]Planilha1'!L19</f>
        <v>2.1614468460520513</v>
      </c>
      <c r="O28" s="43">
        <f>'[1]Planilha1'!N19</f>
        <v>27.031200000000002</v>
      </c>
      <c r="P28" s="6">
        <v>1514</v>
      </c>
      <c r="Q28" s="43">
        <v>54.2</v>
      </c>
      <c r="R28" s="37">
        <v>6.02</v>
      </c>
      <c r="S28" s="36">
        <v>866.3</v>
      </c>
      <c r="T28" s="6">
        <v>1124</v>
      </c>
      <c r="U28" s="37">
        <v>60.67</v>
      </c>
      <c r="V28" s="6">
        <v>1249</v>
      </c>
      <c r="W28" s="37">
        <v>-22.03</v>
      </c>
      <c r="X28" s="6">
        <v>607</v>
      </c>
      <c r="Y28" s="39">
        <v>2.987</v>
      </c>
      <c r="Z28" s="27"/>
    </row>
    <row r="29" spans="1:26" ht="12.75">
      <c r="A29" s="6">
        <v>2023</v>
      </c>
      <c r="B29" s="53">
        <v>45225</v>
      </c>
      <c r="C29" s="36">
        <f>'[1]Planilha1'!C20</f>
        <v>30.72222222222222</v>
      </c>
      <c r="D29" s="6">
        <v>1244</v>
      </c>
      <c r="E29" s="36">
        <f>'[1]Planilha1'!E20</f>
        <v>21.611111111111114</v>
      </c>
      <c r="F29" s="6">
        <v>249</v>
      </c>
      <c r="G29" s="36">
        <f>'[1]Planilha1'!G20</f>
        <v>24.88888888888889</v>
      </c>
      <c r="H29" s="36">
        <f>'[1]Planilha1'!H20</f>
        <v>98</v>
      </c>
      <c r="I29" s="6">
        <v>2339</v>
      </c>
      <c r="J29" s="36">
        <f>'[1]Planilha1'!I20</f>
        <v>60.1</v>
      </c>
      <c r="K29" s="6">
        <v>1250</v>
      </c>
      <c r="L29" s="36">
        <f>'[1]Planilha1'!J20</f>
        <v>82.8</v>
      </c>
      <c r="M29" s="36">
        <v>7.3</v>
      </c>
      <c r="N29" s="43">
        <f>'[1]Planilha1'!L20</f>
        <v>1.8526687251874725</v>
      </c>
      <c r="O29" s="43">
        <f>'[1]Planilha1'!N20</f>
        <v>30.570999999999998</v>
      </c>
      <c r="P29" s="6">
        <v>1359</v>
      </c>
      <c r="Q29" s="36">
        <v>303.5</v>
      </c>
      <c r="R29" s="37">
        <v>5.96</v>
      </c>
      <c r="S29" s="36">
        <v>757.4</v>
      </c>
      <c r="T29" s="6">
        <v>1039</v>
      </c>
      <c r="U29" s="37">
        <v>43.89</v>
      </c>
      <c r="V29" s="6">
        <v>1147</v>
      </c>
      <c r="W29" s="37">
        <v>-18.21</v>
      </c>
      <c r="X29" s="6">
        <v>2322</v>
      </c>
      <c r="Y29" s="35">
        <v>2.117</v>
      </c>
      <c r="Z29" s="27"/>
    </row>
    <row r="30" spans="1:25" ht="12.75">
      <c r="A30" s="6">
        <v>2023</v>
      </c>
      <c r="B30" s="53">
        <v>45226</v>
      </c>
      <c r="C30" s="36">
        <f>'[1]Planilha1'!C21</f>
        <v>30.77777777777778</v>
      </c>
      <c r="D30" s="6">
        <v>1354</v>
      </c>
      <c r="E30" s="36">
        <f>'[1]Planilha1'!E21</f>
        <v>20.777777777777782</v>
      </c>
      <c r="F30" s="6">
        <v>2139</v>
      </c>
      <c r="G30" s="36">
        <f>'[1]Planilha1'!G21</f>
        <v>24.166666666666668</v>
      </c>
      <c r="H30" s="36">
        <f>'[1]Planilha1'!H21</f>
        <v>99.03</v>
      </c>
      <c r="I30" s="6">
        <v>34</v>
      </c>
      <c r="J30" s="36">
        <f>'[1]Planilha1'!I21</f>
        <v>62.2</v>
      </c>
      <c r="K30" s="6">
        <v>1249</v>
      </c>
      <c r="L30" s="36">
        <f>'[1]Planilha1'!J21</f>
        <v>88</v>
      </c>
      <c r="M30" s="36">
        <v>11.9</v>
      </c>
      <c r="N30" s="43">
        <f>'[1]Planilha1'!L21</f>
        <v>1.9408910454344952</v>
      </c>
      <c r="O30" s="43">
        <f>'[1]Planilha1'!N21</f>
        <v>36.3634</v>
      </c>
      <c r="P30" s="6">
        <v>1849</v>
      </c>
      <c r="Q30" s="36">
        <v>42.1</v>
      </c>
      <c r="R30" s="37">
        <v>5.82</v>
      </c>
      <c r="S30" s="36">
        <v>852.4</v>
      </c>
      <c r="T30" s="6">
        <v>1149</v>
      </c>
      <c r="U30" s="37">
        <v>34.54</v>
      </c>
      <c r="V30" s="6">
        <v>1340</v>
      </c>
      <c r="W30" s="37">
        <v>-20.55</v>
      </c>
      <c r="X30" s="6">
        <v>1732</v>
      </c>
      <c r="Y30" s="35">
        <v>1.623</v>
      </c>
    </row>
    <row r="31" spans="1:25" ht="12.75">
      <c r="A31" s="6">
        <v>2023</v>
      </c>
      <c r="B31" s="53">
        <v>45227</v>
      </c>
      <c r="C31" s="36">
        <f>'[1]Planilha1'!C22</f>
        <v>28.77777777777778</v>
      </c>
      <c r="D31" s="6">
        <v>1604</v>
      </c>
      <c r="E31" s="36">
        <f>'[1]Planilha1'!E22</f>
        <v>20.72222222222222</v>
      </c>
      <c r="F31" s="6">
        <v>2234</v>
      </c>
      <c r="G31" s="36">
        <f>'[1]Planilha1'!G22</f>
        <v>22.16666666666667</v>
      </c>
      <c r="H31" s="36">
        <f>'[1]Planilha1'!H22</f>
        <v>99.3</v>
      </c>
      <c r="I31" s="6">
        <v>159</v>
      </c>
      <c r="J31" s="36">
        <f>'[1]Planilha1'!I22</f>
        <v>72.8</v>
      </c>
      <c r="K31" s="6">
        <v>1604</v>
      </c>
      <c r="L31" s="36">
        <f>'[1]Planilha1'!J22</f>
        <v>95.9</v>
      </c>
      <c r="M31" s="36">
        <v>32.5</v>
      </c>
      <c r="N31" s="43">
        <f>'[1]Planilha1'!L22</f>
        <v>2.646669607410675</v>
      </c>
      <c r="O31" s="43">
        <f>'[1]Planilha1'!N22</f>
        <v>41.6731</v>
      </c>
      <c r="P31" s="6">
        <v>1754</v>
      </c>
      <c r="Q31" s="36">
        <v>53.8</v>
      </c>
      <c r="R31" s="37">
        <v>5.51</v>
      </c>
      <c r="S31" s="36">
        <v>774.3</v>
      </c>
      <c r="T31" s="6">
        <v>1354</v>
      </c>
      <c r="U31" s="37">
        <v>22.77</v>
      </c>
      <c r="V31" s="6">
        <v>1358</v>
      </c>
      <c r="W31" s="37">
        <v>-41.38</v>
      </c>
      <c r="X31" s="6">
        <v>237</v>
      </c>
      <c r="Y31" s="35">
        <v>1.857</v>
      </c>
    </row>
    <row r="32" spans="1:25" ht="12.75">
      <c r="A32" s="6">
        <v>2023</v>
      </c>
      <c r="B32" s="53">
        <v>45228</v>
      </c>
      <c r="C32" s="36">
        <f>'[1]Planilha1'!C23</f>
        <v>32.22222222222222</v>
      </c>
      <c r="D32" s="6">
        <v>1308</v>
      </c>
      <c r="E32" s="36">
        <f>'[1]Planilha1'!E23</f>
        <v>21</v>
      </c>
      <c r="F32" s="6">
        <v>4</v>
      </c>
      <c r="G32" s="36">
        <f>'[1]Planilha1'!G23</f>
        <v>25.777777777777782</v>
      </c>
      <c r="H32" s="36">
        <f>'[1]Planilha1'!H23</f>
        <v>99.2</v>
      </c>
      <c r="I32" s="6">
        <v>309</v>
      </c>
      <c r="J32" s="36">
        <f>'[1]Planilha1'!I23</f>
        <v>50.1</v>
      </c>
      <c r="K32" s="6">
        <v>1354</v>
      </c>
      <c r="L32" s="36">
        <f>'[1]Planilha1'!J23</f>
        <v>83.2</v>
      </c>
      <c r="M32" s="36">
        <v>7.2</v>
      </c>
      <c r="N32" s="43">
        <f>'[1]Planilha1'!L23</f>
        <v>3.17600352889281</v>
      </c>
      <c r="O32" s="43">
        <f>'[1]Planilha1'!N23</f>
        <v>38.937799999999996</v>
      </c>
      <c r="P32" s="6">
        <v>1403</v>
      </c>
      <c r="Q32" s="36">
        <v>57.7</v>
      </c>
      <c r="R32" s="37">
        <v>6.05</v>
      </c>
      <c r="S32" s="36">
        <v>1045.8</v>
      </c>
      <c r="T32" s="6">
        <v>1134</v>
      </c>
      <c r="U32" s="37">
        <v>20.15</v>
      </c>
      <c r="V32" s="6">
        <v>958</v>
      </c>
      <c r="W32" s="37">
        <v>-36.43</v>
      </c>
      <c r="X32" s="6">
        <v>2213</v>
      </c>
      <c r="Y32" s="35">
        <v>2.463</v>
      </c>
    </row>
    <row r="33" spans="1:25" ht="12.75">
      <c r="A33" s="6">
        <v>2023</v>
      </c>
      <c r="B33" s="53">
        <v>45229</v>
      </c>
      <c r="C33" s="36">
        <f>'[1]Planilha1'!C24</f>
        <v>34.5</v>
      </c>
      <c r="D33" s="6">
        <v>1554</v>
      </c>
      <c r="E33" s="36">
        <f>'[1]Planilha1'!E24</f>
        <v>22.11111111111111</v>
      </c>
      <c r="F33" s="6">
        <v>614</v>
      </c>
      <c r="G33" s="36">
        <f>'[1]Planilha1'!G24</f>
        <v>27.16666666666667</v>
      </c>
      <c r="H33" s="36">
        <f>'[1]Planilha1'!H24</f>
        <v>99.1</v>
      </c>
      <c r="I33" s="6">
        <v>104</v>
      </c>
      <c r="J33" s="36">
        <f>'[1]Planilha1'!I24</f>
        <v>44.3</v>
      </c>
      <c r="K33" s="6">
        <v>1319</v>
      </c>
      <c r="L33" s="36">
        <f>'[1]Planilha1'!J24</f>
        <v>74.1</v>
      </c>
      <c r="M33" s="36">
        <v>0.5</v>
      </c>
      <c r="N33" s="43">
        <f>'[1]Planilha1'!L24</f>
        <v>1.8526687251874725</v>
      </c>
      <c r="O33" s="43">
        <f>'[1]Planilha1'!N24</f>
        <v>21.5606</v>
      </c>
      <c r="P33" s="6">
        <v>539</v>
      </c>
      <c r="Q33" s="43">
        <v>62.3</v>
      </c>
      <c r="R33" s="37">
        <v>6.82</v>
      </c>
      <c r="S33" s="36">
        <v>1063.7</v>
      </c>
      <c r="T33" s="6">
        <v>1209</v>
      </c>
      <c r="U33" s="37">
        <v>58.03</v>
      </c>
      <c r="V33" s="6">
        <v>1333</v>
      </c>
      <c r="W33" s="37">
        <v>-25.25</v>
      </c>
      <c r="X33" s="6">
        <v>611</v>
      </c>
      <c r="Y33" s="35">
        <v>2.263</v>
      </c>
    </row>
    <row r="34" spans="1:25" ht="12.75">
      <c r="A34" s="6">
        <v>2023</v>
      </c>
      <c r="B34" s="53">
        <v>45230</v>
      </c>
      <c r="C34" s="36">
        <f>'[1]Planilha1'!C25</f>
        <v>30.77777777777778</v>
      </c>
      <c r="D34" s="6">
        <v>1155</v>
      </c>
      <c r="E34" s="36">
        <f>'[1]Planilha1'!E25</f>
        <v>21.11111111111111</v>
      </c>
      <c r="F34" s="6">
        <v>2359</v>
      </c>
      <c r="G34" s="36">
        <f>'[1]Planilha1'!G25</f>
        <v>24.66666666666667</v>
      </c>
      <c r="H34" s="36">
        <f>'[1]Planilha1'!H25</f>
        <v>97.4</v>
      </c>
      <c r="I34" s="6">
        <v>2159</v>
      </c>
      <c r="J34" s="36">
        <f>'[1]Planilha1'!I25</f>
        <v>58.3</v>
      </c>
      <c r="K34" s="6">
        <v>1304</v>
      </c>
      <c r="L34" s="36">
        <f>'[1]Planilha1'!J25</f>
        <v>83.9</v>
      </c>
      <c r="M34" s="36">
        <v>0</v>
      </c>
      <c r="N34" s="43">
        <f>'[1]Planilha1'!L25</f>
        <v>2.47022496691663</v>
      </c>
      <c r="O34" s="43">
        <f>'[1]Planilha1'!N25</f>
        <v>46.0174</v>
      </c>
      <c r="P34" s="52">
        <v>1424</v>
      </c>
      <c r="Q34" s="36">
        <v>174.5</v>
      </c>
      <c r="R34" s="6">
        <v>5.71</v>
      </c>
      <c r="S34" s="36">
        <v>981.3</v>
      </c>
      <c r="T34" s="6">
        <v>1144</v>
      </c>
      <c r="U34" s="37">
        <v>60.92</v>
      </c>
      <c r="V34" s="6">
        <v>1344</v>
      </c>
      <c r="W34" s="37">
        <v>-23.42</v>
      </c>
      <c r="X34" s="6">
        <v>0</v>
      </c>
      <c r="Y34" s="35">
        <v>2.433</v>
      </c>
    </row>
    <row r="35" spans="3:25" ht="12.75">
      <c r="C35" s="65">
        <f>AVERAGE(C4:C34)</f>
        <v>33.17770609318996</v>
      </c>
      <c r="D35" s="33"/>
      <c r="E35" s="65">
        <f>AVERAGE(E4:E34)</f>
        <v>21.09039426523297</v>
      </c>
      <c r="F35" s="33"/>
      <c r="G35" s="65">
        <f>AVERAGE(G4:G34)</f>
        <v>26.094301075268817</v>
      </c>
      <c r="H35" s="65">
        <f>AVERAGE(H4:H34)</f>
        <v>93.75354838709679</v>
      </c>
      <c r="I35" s="33"/>
      <c r="J35" s="65">
        <f>AVERAGE(J4:J34)</f>
        <v>47.85258064516128</v>
      </c>
      <c r="K35" s="33"/>
      <c r="L35" s="65">
        <f>AVERAGE(L4:L34)</f>
        <v>74.19451612903225</v>
      </c>
      <c r="M35" s="41">
        <f>SUM(M4:M34)</f>
        <v>132.7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41">
        <f>SUM(Y4:Y34)</f>
        <v>94.34700000000001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8" r:id="rId1"/>
  <headerFooter alignWithMargins="0">
    <oddHeader>&amp;C&amp;"Arial,Negrito"DADOS METEOROLÓGICOS - ESTAÇÃO EXPERIMENTAL DE CITRICULTURA DE BEBEDOURO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="75" zoomScaleSheetLayoutView="75" zoomScalePageLayoutView="0" workbookViewId="0" topLeftCell="B2">
      <selection activeCell="N34" sqref="N34"/>
    </sheetView>
  </sheetViews>
  <sheetFormatPr defaultColWidth="9.140625" defaultRowHeight="12.75"/>
  <cols>
    <col min="1" max="1" width="7.281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28125" style="0" customWidth="1"/>
    <col min="13" max="13" width="7.140625" style="0" customWidth="1"/>
    <col min="14" max="14" width="10.00390625" style="0" bestFit="1" customWidth="1"/>
    <col min="16" max="16" width="7.7109375" style="0" customWidth="1"/>
    <col min="17" max="17" width="6.57421875" style="0" customWidth="1"/>
    <col min="18" max="18" width="7.7109375" style="0" customWidth="1"/>
    <col min="19" max="19" width="8.7109375" style="0" customWidth="1"/>
    <col min="20" max="20" width="8.00390625" style="0" customWidth="1"/>
    <col min="21" max="21" width="8.281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70">
        <v>39448</v>
      </c>
      <c r="B1" s="70"/>
      <c r="C1" s="8">
        <v>1</v>
      </c>
      <c r="E1">
        <v>3.6</v>
      </c>
    </row>
    <row r="2" spans="1:25" ht="30">
      <c r="A2" s="71" t="s">
        <v>12</v>
      </c>
      <c r="B2" s="71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72"/>
      <c r="B3" s="72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2023</v>
      </c>
      <c r="B4" s="53">
        <v>45231</v>
      </c>
      <c r="C4" s="37">
        <f>'[1]Planilha1'!$C$26</f>
        <v>30.38888888888889</v>
      </c>
      <c r="D4" s="6">
        <v>1334</v>
      </c>
      <c r="E4" s="37">
        <f>'[1]Planilha1'!$E$26</f>
        <v>20.27777777777778</v>
      </c>
      <c r="F4" s="6">
        <v>409</v>
      </c>
      <c r="G4" s="37">
        <f>'[1]Planilha1'!$G$26</f>
        <v>24.833333333333332</v>
      </c>
      <c r="H4" s="37">
        <f>'[1]Planilha1'!$H$26</f>
        <v>98.9</v>
      </c>
      <c r="I4" s="6">
        <v>749</v>
      </c>
      <c r="J4" s="37">
        <f>'[1]Planilha1'!$I$26</f>
        <v>55.2</v>
      </c>
      <c r="K4" s="6">
        <v>1349</v>
      </c>
      <c r="L4" s="37">
        <f>'[1]Planilha1'!$J$26</f>
        <v>81.8</v>
      </c>
      <c r="M4" s="36">
        <v>1.7</v>
      </c>
      <c r="N4" s="34">
        <f>'[1]Planilha1'!$L$26</f>
        <v>1.9850022055580063</v>
      </c>
      <c r="O4" s="34">
        <f>'[1]Planilha1'!$N$26</f>
        <v>25.2613</v>
      </c>
      <c r="P4" s="6">
        <v>1659</v>
      </c>
      <c r="Q4" s="36">
        <v>173.4</v>
      </c>
      <c r="R4" s="37">
        <v>5.49</v>
      </c>
      <c r="S4" s="36">
        <v>1047.2</v>
      </c>
      <c r="T4" s="6">
        <v>1129</v>
      </c>
      <c r="U4" s="37">
        <v>61.36</v>
      </c>
      <c r="V4" s="6">
        <v>1215</v>
      </c>
      <c r="W4" s="37">
        <v>-77.4</v>
      </c>
      <c r="X4" s="6">
        <v>1</v>
      </c>
      <c r="Y4" s="35">
        <v>2.027</v>
      </c>
    </row>
    <row r="5" spans="1:25" ht="12.75">
      <c r="A5" s="6">
        <v>2023</v>
      </c>
      <c r="B5" s="53">
        <v>45232</v>
      </c>
      <c r="C5" s="37">
        <f>'[1]Planilha1'!$C$27</f>
        <v>32.5</v>
      </c>
      <c r="D5" s="6">
        <v>1429</v>
      </c>
      <c r="E5" s="37">
        <f>'[1]Planilha1'!$E$27</f>
        <v>19.388888888888893</v>
      </c>
      <c r="F5" s="6">
        <v>539</v>
      </c>
      <c r="G5" s="37">
        <f>'[1]Planilha1'!$G$25</f>
        <v>24.66666666666667</v>
      </c>
      <c r="H5" s="37">
        <f>'[1]Planilha1'!$H$27</f>
        <v>92.3</v>
      </c>
      <c r="I5" s="6">
        <v>549</v>
      </c>
      <c r="J5" s="37">
        <f>'[1]Planilha1'!$I$27</f>
        <v>47.1</v>
      </c>
      <c r="K5" s="6">
        <v>1449</v>
      </c>
      <c r="L5" s="37">
        <f>'[1]Planilha1'!$J$27</f>
        <v>71</v>
      </c>
      <c r="M5" s="36">
        <f>'[1]Planilha1'!$P$27</f>
        <v>0</v>
      </c>
      <c r="N5" s="34">
        <f>'[1]Planilha1'!$L$27</f>
        <v>2.602558447287164</v>
      </c>
      <c r="O5" s="34">
        <f>'[1]Planilha1'!$N$27</f>
        <v>25.5831</v>
      </c>
      <c r="P5" s="6">
        <v>1224</v>
      </c>
      <c r="Q5" s="36">
        <v>188.6</v>
      </c>
      <c r="R5" s="37">
        <v>5.87</v>
      </c>
      <c r="S5" s="36">
        <v>1156.1</v>
      </c>
      <c r="T5" s="6">
        <v>1134</v>
      </c>
      <c r="U5" s="37">
        <v>38.03</v>
      </c>
      <c r="V5" s="6">
        <v>1323</v>
      </c>
      <c r="W5" s="37">
        <v>-52.61</v>
      </c>
      <c r="X5" s="6">
        <v>1905</v>
      </c>
      <c r="Y5" s="35">
        <v>2.662</v>
      </c>
    </row>
    <row r="6" spans="1:25" ht="12.75">
      <c r="A6" s="6">
        <v>2023</v>
      </c>
      <c r="B6" s="53">
        <v>45233</v>
      </c>
      <c r="C6" s="37">
        <f>'[1]Planilha1'!$C$28</f>
        <v>34</v>
      </c>
      <c r="D6" s="6">
        <v>1454</v>
      </c>
      <c r="E6" s="37">
        <f>'[1]Planilha1'!$E$28</f>
        <v>20.27777777777778</v>
      </c>
      <c r="F6" s="6">
        <v>2129</v>
      </c>
      <c r="G6" s="37">
        <f>'[1]Planilha1'!$G$28</f>
        <v>26</v>
      </c>
      <c r="H6" s="37">
        <f>'[1]Planilha1'!$H$28</f>
        <v>99.2</v>
      </c>
      <c r="I6" s="6">
        <v>2329</v>
      </c>
      <c r="J6" s="37">
        <f>'[1]Planilha1'!$I$28</f>
        <v>48.4</v>
      </c>
      <c r="K6" s="6">
        <v>1454</v>
      </c>
      <c r="L6" s="37">
        <f>'[1]Planilha1'!$J$28</f>
        <v>77.9</v>
      </c>
      <c r="M6" s="36">
        <v>67.3</v>
      </c>
      <c r="N6" s="34">
        <f>'[1]Planilha1'!$L$28</f>
        <v>3.4406704896338773</v>
      </c>
      <c r="O6" s="34">
        <f>'[1]Planilha1'!$N$28</f>
        <v>35.2371</v>
      </c>
      <c r="P6" s="6">
        <v>1644</v>
      </c>
      <c r="Q6" s="36">
        <v>40.1</v>
      </c>
      <c r="R6" s="37">
        <v>6.54</v>
      </c>
      <c r="S6" s="36">
        <v>1043.3</v>
      </c>
      <c r="T6" s="6">
        <v>1229</v>
      </c>
      <c r="U6" s="37">
        <v>53.87</v>
      </c>
      <c r="V6" s="6">
        <v>1256</v>
      </c>
      <c r="W6" s="37">
        <v>-196.9</v>
      </c>
      <c r="X6" s="6">
        <v>2244</v>
      </c>
      <c r="Y6" s="35">
        <v>3.01</v>
      </c>
    </row>
    <row r="7" spans="1:25" ht="12.75">
      <c r="A7" s="6">
        <v>2023</v>
      </c>
      <c r="B7" s="53">
        <v>45234</v>
      </c>
      <c r="C7" s="37">
        <f>'[1]Planilha1'!$C$29</f>
        <v>26.77777777777778</v>
      </c>
      <c r="D7" s="6">
        <v>1524</v>
      </c>
      <c r="E7" s="37">
        <f>'[1]Planilha1'!$E$29</f>
        <v>18.111111111111107</v>
      </c>
      <c r="F7" s="6">
        <v>739</v>
      </c>
      <c r="G7" s="37">
        <f>'[1]Planilha1'!$G$29</f>
        <v>22.16666666666667</v>
      </c>
      <c r="H7" s="37">
        <f>'[1]Planilha1'!$H$29</f>
        <v>99.1</v>
      </c>
      <c r="I7" s="6">
        <v>144</v>
      </c>
      <c r="J7" s="37">
        <f>'[1]Planilha1'!$I$29</f>
        <v>37</v>
      </c>
      <c r="K7" s="6">
        <v>1714</v>
      </c>
      <c r="L7" s="37">
        <f>'[1]Planilha1'!$J$29</f>
        <v>74.1</v>
      </c>
      <c r="M7" s="36">
        <v>2.1</v>
      </c>
      <c r="N7" s="34">
        <f>'[1]Planilha1'!$L$29</f>
        <v>3.0877812086457874</v>
      </c>
      <c r="O7" s="34">
        <f>'[1]Planilha1'!$N$29</f>
        <v>36.6852</v>
      </c>
      <c r="P7" s="6">
        <v>1444</v>
      </c>
      <c r="Q7" s="36">
        <v>306.9</v>
      </c>
      <c r="R7" s="37">
        <v>5.02</v>
      </c>
      <c r="S7" s="36">
        <v>1084.5</v>
      </c>
      <c r="T7" s="6">
        <v>1349</v>
      </c>
      <c r="U7" s="37">
        <v>21.23</v>
      </c>
      <c r="V7" s="6">
        <v>1157</v>
      </c>
      <c r="W7" s="37">
        <v>-20.68</v>
      </c>
      <c r="X7" s="6">
        <v>414</v>
      </c>
      <c r="Y7" s="35">
        <v>0.753</v>
      </c>
    </row>
    <row r="8" spans="1:25" ht="12.75">
      <c r="A8" s="6">
        <v>2023</v>
      </c>
      <c r="B8" s="53">
        <v>45235</v>
      </c>
      <c r="C8" s="37">
        <f>'[1]Planilha1'!$C$30</f>
        <v>30.88888888888889</v>
      </c>
      <c r="D8" s="6">
        <v>1609</v>
      </c>
      <c r="E8" s="37">
        <f>'[1]Planilha1'!$E$30</f>
        <v>15.38888888888889</v>
      </c>
      <c r="F8" s="6">
        <v>534</v>
      </c>
      <c r="G8" s="37">
        <f>'[1]Planilha1'!$G$30</f>
        <v>23.72222222222222</v>
      </c>
      <c r="H8" s="37">
        <f>'[1]Planilha1'!$H$30</f>
        <v>80.3</v>
      </c>
      <c r="I8" s="6">
        <v>544</v>
      </c>
      <c r="J8" s="37">
        <f>'[1]Planilha1'!$I$30</f>
        <v>29.2</v>
      </c>
      <c r="K8" s="6">
        <v>1639</v>
      </c>
      <c r="L8" s="37">
        <f>'[1]Planilha1'!$J$30</f>
        <v>52.2</v>
      </c>
      <c r="M8" s="36">
        <f>'[1]Planilha1'!$P$30</f>
        <v>0</v>
      </c>
      <c r="N8" s="34">
        <f>'[1]Planilha1'!$L$30</f>
        <v>2.2055580061755626</v>
      </c>
      <c r="O8" s="34">
        <f>'[1]Planilha1'!$N$30</f>
        <v>21.8824</v>
      </c>
      <c r="P8" s="6">
        <v>959</v>
      </c>
      <c r="Q8" s="36">
        <v>180.1</v>
      </c>
      <c r="R8" s="37">
        <v>5.36</v>
      </c>
      <c r="S8" s="36">
        <v>938.7</v>
      </c>
      <c r="T8" s="6">
        <v>1214</v>
      </c>
      <c r="U8" s="37">
        <v>64.09</v>
      </c>
      <c r="V8" s="6">
        <v>1238</v>
      </c>
      <c r="W8" s="37">
        <v>-33.65</v>
      </c>
      <c r="X8" s="6">
        <v>404</v>
      </c>
      <c r="Y8" s="35">
        <v>3.048</v>
      </c>
    </row>
    <row r="9" spans="1:25" ht="12.75">
      <c r="A9" s="6">
        <v>2023</v>
      </c>
      <c r="B9" s="53">
        <v>45236</v>
      </c>
      <c r="C9" s="37">
        <f>'[1]Planilha1'!$C$31</f>
        <v>32.72222222222222</v>
      </c>
      <c r="D9" s="6">
        <v>1614</v>
      </c>
      <c r="E9" s="37">
        <f>'[1]Planilha1'!$E$31</f>
        <v>16.27777777777778</v>
      </c>
      <c r="F9" s="6">
        <v>549</v>
      </c>
      <c r="G9" s="37">
        <f>'[1]Planilha1'!$G$31</f>
        <v>24.61111111111111</v>
      </c>
      <c r="H9" s="37">
        <f>'[1]Planilha1'!$H$31</f>
        <v>82.8</v>
      </c>
      <c r="I9" s="6">
        <v>609</v>
      </c>
      <c r="J9" s="37">
        <f>'[1]Planilha1'!$I$31</f>
        <v>29.1</v>
      </c>
      <c r="K9" s="6">
        <v>1434</v>
      </c>
      <c r="L9" s="37">
        <f>'[1]Planilha1'!$J$31</f>
        <v>55.3</v>
      </c>
      <c r="M9" s="36">
        <f>'[1]Planilha1'!$P$31</f>
        <v>0</v>
      </c>
      <c r="N9" s="34">
        <f>'[1]Planilha1'!$L$31</f>
        <v>3.573003970004411</v>
      </c>
      <c r="O9" s="34">
        <f>'[1]Planilha1'!$N$31</f>
        <v>27.031200000000002</v>
      </c>
      <c r="P9" s="6">
        <v>529</v>
      </c>
      <c r="Q9" s="36">
        <v>164.7</v>
      </c>
      <c r="R9" s="34">
        <v>6.47</v>
      </c>
      <c r="S9" s="36">
        <v>953.3</v>
      </c>
      <c r="T9" s="6">
        <v>1215</v>
      </c>
      <c r="U9" s="37">
        <v>24.08</v>
      </c>
      <c r="V9" s="6">
        <v>1238</v>
      </c>
      <c r="W9" s="37">
        <v>-39.27</v>
      </c>
      <c r="X9" s="6">
        <v>350</v>
      </c>
      <c r="Y9" s="35">
        <v>2.856</v>
      </c>
    </row>
    <row r="10" spans="1:25" ht="12.75">
      <c r="A10" s="6">
        <v>2023</v>
      </c>
      <c r="B10" s="53">
        <v>45237</v>
      </c>
      <c r="C10" s="37">
        <f>'[1]Planilha1'!$C$32</f>
        <v>34.5</v>
      </c>
      <c r="D10" s="6">
        <v>1504</v>
      </c>
      <c r="E10" s="37">
        <f>'[1]Planilha1'!$E$32</f>
        <v>18.5</v>
      </c>
      <c r="F10" s="6">
        <v>454</v>
      </c>
      <c r="G10" s="37">
        <f>'[1]Planilha1'!$G$32</f>
        <v>26.444444444444443</v>
      </c>
      <c r="H10" s="37">
        <f>'[1]Planilha1'!$H$32</f>
        <v>84</v>
      </c>
      <c r="I10" s="6">
        <v>454</v>
      </c>
      <c r="J10" s="37">
        <f>'[1]Planilha1'!$I$32</f>
        <v>33.9</v>
      </c>
      <c r="K10" s="6">
        <v>1454</v>
      </c>
      <c r="L10" s="37">
        <f>'[1]Planilha1'!$J$32</f>
        <v>58.7</v>
      </c>
      <c r="M10" s="36">
        <f>'[1]Planilha1'!$P$32</f>
        <v>0</v>
      </c>
      <c r="N10" s="34">
        <f>'[1]Planilha1'!$L$32</f>
        <v>2.690780767534186</v>
      </c>
      <c r="O10" s="34">
        <f>'[1]Planilha1'!$N$32</f>
        <v>22.3651</v>
      </c>
      <c r="P10" s="6">
        <v>759</v>
      </c>
      <c r="Q10" s="36">
        <v>132.6</v>
      </c>
      <c r="R10" s="34">
        <v>6.78</v>
      </c>
      <c r="S10" s="36">
        <v>957.8</v>
      </c>
      <c r="T10" s="6">
        <v>1259</v>
      </c>
      <c r="U10" s="37">
        <v>30.9</v>
      </c>
      <c r="V10" s="6">
        <v>1243</v>
      </c>
      <c r="W10" s="37">
        <v>-39.29</v>
      </c>
      <c r="X10" s="6">
        <v>2330</v>
      </c>
      <c r="Y10" s="35">
        <v>2.904</v>
      </c>
    </row>
    <row r="11" spans="1:25" ht="12.75">
      <c r="A11" s="6">
        <v>2023</v>
      </c>
      <c r="B11" s="53">
        <v>45238</v>
      </c>
      <c r="C11" s="37">
        <f>'[1]Planilha1'!$C$33</f>
        <v>34.72222222222222</v>
      </c>
      <c r="D11" s="6">
        <v>1559</v>
      </c>
      <c r="E11" s="37">
        <f>'[1]Planilha1'!$E$33</f>
        <v>21.27777777777778</v>
      </c>
      <c r="F11" s="6">
        <v>404</v>
      </c>
      <c r="G11" s="37">
        <f>'[1]Planilha1'!$G$33</f>
        <v>27.722222222222225</v>
      </c>
      <c r="H11" s="37">
        <f>'[1]Planilha1'!$H$33</f>
        <v>71.2</v>
      </c>
      <c r="I11" s="6">
        <v>328</v>
      </c>
      <c r="J11" s="37">
        <f>'[1]Planilha1'!$I$33</f>
        <v>39</v>
      </c>
      <c r="K11" s="6">
        <v>1559</v>
      </c>
      <c r="L11" s="37">
        <f>'[1]Planilha1'!$J$33</f>
        <v>53.1</v>
      </c>
      <c r="M11" s="36">
        <f>'[1]Planilha1'!$P$33</f>
        <v>0</v>
      </c>
      <c r="N11" s="34">
        <f>'[1]Planilha1'!$L$33</f>
        <v>2.2496691662990735</v>
      </c>
      <c r="O11" s="34">
        <f>'[1]Planilha1'!$N$33</f>
        <v>29.4447</v>
      </c>
      <c r="P11" s="6">
        <v>1219</v>
      </c>
      <c r="Q11" s="36">
        <v>44.1</v>
      </c>
      <c r="R11" s="37">
        <v>6.96</v>
      </c>
      <c r="S11" s="36">
        <v>907</v>
      </c>
      <c r="T11" s="6">
        <v>1214</v>
      </c>
      <c r="U11" s="37">
        <v>18.81</v>
      </c>
      <c r="V11" s="6">
        <v>1218</v>
      </c>
      <c r="W11" s="37">
        <v>-35.22</v>
      </c>
      <c r="X11" s="6">
        <v>2342</v>
      </c>
      <c r="Y11" s="35">
        <v>2.852</v>
      </c>
    </row>
    <row r="12" spans="1:25" ht="12.75">
      <c r="A12" s="6">
        <v>2023</v>
      </c>
      <c r="B12" s="53">
        <v>45239</v>
      </c>
      <c r="C12" s="37">
        <f>'[1]Planilha1'!$C$34</f>
        <v>34.111111111111114</v>
      </c>
      <c r="D12" s="6">
        <v>1324</v>
      </c>
      <c r="E12" s="37">
        <f>'[1]Planilha1'!$E$34</f>
        <v>22.61111111111111</v>
      </c>
      <c r="F12" s="6">
        <v>609</v>
      </c>
      <c r="G12" s="37">
        <f>'[1]Planilha1'!$G$34</f>
        <v>28.055555555555557</v>
      </c>
      <c r="H12" s="37">
        <f>'[1]Planilha1'!$H$34</f>
        <v>74.3</v>
      </c>
      <c r="I12" s="6">
        <v>609</v>
      </c>
      <c r="J12" s="37">
        <f>'[1]Planilha1'!$I$34</f>
        <v>34.2</v>
      </c>
      <c r="K12" s="6">
        <v>1214</v>
      </c>
      <c r="L12" s="37">
        <f>'[1]Planilha1'!$J$34</f>
        <v>58.2</v>
      </c>
      <c r="M12" s="36">
        <f>'[1]Planilha1'!$P$34</f>
        <v>0</v>
      </c>
      <c r="N12" s="34">
        <f>'[1]Planilha1'!$L$34</f>
        <v>2.646669607410675</v>
      </c>
      <c r="O12" s="34">
        <f>'[1]Planilha1'!$N$34</f>
        <v>33.1454</v>
      </c>
      <c r="P12" s="6">
        <v>939</v>
      </c>
      <c r="Q12" s="36">
        <v>52.5</v>
      </c>
      <c r="R12" s="37">
        <v>7.13</v>
      </c>
      <c r="S12" s="36">
        <v>1047.2</v>
      </c>
      <c r="T12" s="6">
        <v>1259</v>
      </c>
      <c r="U12" s="37">
        <v>20.95</v>
      </c>
      <c r="V12" s="6">
        <v>1534</v>
      </c>
      <c r="W12" s="37">
        <v>-37.22</v>
      </c>
      <c r="X12" s="6">
        <v>2343</v>
      </c>
      <c r="Y12" s="35">
        <v>2.294</v>
      </c>
    </row>
    <row r="13" spans="1:25" ht="12.75">
      <c r="A13" s="6">
        <v>2023</v>
      </c>
      <c r="B13" s="53">
        <v>45240</v>
      </c>
      <c r="C13" s="37">
        <f>'[1]Planilha1'!$C$35</f>
        <v>35.5</v>
      </c>
      <c r="D13" s="6">
        <v>1553</v>
      </c>
      <c r="E13" s="37">
        <f>'[1]Planilha1'!$E$35</f>
        <v>22.722222222222225</v>
      </c>
      <c r="F13" s="6">
        <v>449</v>
      </c>
      <c r="G13" s="37">
        <f>'[1]Planilha1'!$G$35</f>
        <v>29.38888888888889</v>
      </c>
      <c r="H13" s="37">
        <f>'[1]Planilha1'!$H$35</f>
        <v>79</v>
      </c>
      <c r="I13" s="6">
        <v>634</v>
      </c>
      <c r="J13" s="37">
        <f>'[1]Planilha1'!$I$35</f>
        <v>33.3</v>
      </c>
      <c r="K13" s="6">
        <v>1439</v>
      </c>
      <c r="L13" s="37">
        <f>'[1]Planilha1'!$J$35</f>
        <v>52.4</v>
      </c>
      <c r="M13" s="36">
        <f>'[1]Planilha1'!$P$35</f>
        <v>0</v>
      </c>
      <c r="N13" s="34">
        <f>'[1]Planilha1'!$L$35</f>
        <v>1.8967798853109836</v>
      </c>
      <c r="O13" s="34">
        <f>'[1]Planilha1'!$N$35</f>
        <v>20.595200000000002</v>
      </c>
      <c r="P13" s="6">
        <v>619</v>
      </c>
      <c r="Q13" s="36">
        <v>123.6</v>
      </c>
      <c r="R13" s="37">
        <v>7.21</v>
      </c>
      <c r="S13" s="36">
        <v>891</v>
      </c>
      <c r="T13" s="6">
        <v>1214</v>
      </c>
      <c r="U13" s="37">
        <v>8.24</v>
      </c>
      <c r="V13" s="6">
        <v>1131</v>
      </c>
      <c r="W13" s="37">
        <v>-41.49</v>
      </c>
      <c r="X13" s="6">
        <v>233</v>
      </c>
      <c r="Y13" s="35">
        <v>3.568</v>
      </c>
    </row>
    <row r="14" spans="1:26" ht="12.75">
      <c r="A14" s="6">
        <v>2023</v>
      </c>
      <c r="B14" s="53">
        <v>45241</v>
      </c>
      <c r="C14" s="37">
        <f>'[1]Planilha1'!$C$36</f>
        <v>36.888888888888886</v>
      </c>
      <c r="D14" s="6">
        <v>1619</v>
      </c>
      <c r="E14" s="37">
        <f>'[1]Planilha1'!$E$36</f>
        <v>22.77777777777778</v>
      </c>
      <c r="F14" s="6">
        <v>544</v>
      </c>
      <c r="G14" s="37">
        <f>'[1]Planilha1'!$G$36</f>
        <v>30.555555555555557</v>
      </c>
      <c r="H14" s="37">
        <f>'[1]Planilha1'!$H$36</f>
        <v>61.2</v>
      </c>
      <c r="I14" s="6">
        <v>549</v>
      </c>
      <c r="J14" s="37">
        <f>'[1]Planilha1'!$I$36</f>
        <v>22</v>
      </c>
      <c r="K14" s="6">
        <v>1649</v>
      </c>
      <c r="L14" s="37">
        <f>'[1]Planilha1'!$J$36</f>
        <v>39.3</v>
      </c>
      <c r="M14" s="36">
        <f>'[1]Planilha1'!$P$36</f>
        <v>0</v>
      </c>
      <c r="N14" s="34">
        <f>'[1]Planilha1'!$L$36</f>
        <v>2.073224525805029</v>
      </c>
      <c r="O14" s="34">
        <f>'[1]Planilha1'!$N$36</f>
        <v>24.7786</v>
      </c>
      <c r="P14" s="6">
        <v>1314</v>
      </c>
      <c r="Q14" s="36">
        <v>62.7</v>
      </c>
      <c r="R14" s="37">
        <v>7.35</v>
      </c>
      <c r="S14" s="36">
        <v>913.6</v>
      </c>
      <c r="T14" s="6">
        <v>1213</v>
      </c>
      <c r="U14" s="37">
        <v>19.22</v>
      </c>
      <c r="V14" s="6">
        <v>1234</v>
      </c>
      <c r="W14" s="37">
        <v>-44.89</v>
      </c>
      <c r="X14" s="6">
        <v>2201</v>
      </c>
      <c r="Y14" s="35">
        <v>3.062</v>
      </c>
      <c r="Z14" s="13"/>
    </row>
    <row r="15" spans="1:25" ht="12.75">
      <c r="A15" s="6">
        <v>2023</v>
      </c>
      <c r="B15" s="53">
        <v>45242</v>
      </c>
      <c r="C15" s="37">
        <f>'[1]Planilha1'!$C$37</f>
        <v>37.833333333333336</v>
      </c>
      <c r="D15" s="6">
        <v>1559</v>
      </c>
      <c r="E15" s="37">
        <f>'[1]Planilha1'!$E$37</f>
        <v>22.22222222222222</v>
      </c>
      <c r="F15" s="6">
        <v>542</v>
      </c>
      <c r="G15" s="37">
        <f>'[1]Planilha1'!$G$37</f>
        <v>31.166666666666668</v>
      </c>
      <c r="H15" s="37">
        <f>'[1]Planilha1'!$H$37</f>
        <v>65.8</v>
      </c>
      <c r="I15" s="6">
        <v>544</v>
      </c>
      <c r="J15" s="37">
        <f>'[1]Planilha1'!$I$37</f>
        <v>22.9</v>
      </c>
      <c r="K15" s="6">
        <v>1314</v>
      </c>
      <c r="L15" s="37">
        <f>'[1]Planilha1'!$J$37</f>
        <v>39.1</v>
      </c>
      <c r="M15" s="36">
        <f>'[1]Planilha1'!$P$37</f>
        <v>0</v>
      </c>
      <c r="N15" s="34">
        <f>'[1]Planilha1'!$L$37</f>
        <v>1.9408910454344952</v>
      </c>
      <c r="O15" s="34">
        <f>'[1]Planilha1'!$N$37</f>
        <v>22.3651</v>
      </c>
      <c r="P15" s="6">
        <v>1324</v>
      </c>
      <c r="Q15" s="36">
        <v>86.8</v>
      </c>
      <c r="R15" s="37">
        <v>7.42</v>
      </c>
      <c r="S15" s="36">
        <v>1000.3</v>
      </c>
      <c r="T15" s="6">
        <v>1244</v>
      </c>
      <c r="U15" s="37">
        <v>28.29</v>
      </c>
      <c r="V15" s="6">
        <v>1301</v>
      </c>
      <c r="W15" s="37">
        <v>-41.79</v>
      </c>
      <c r="X15" s="6">
        <v>2238</v>
      </c>
      <c r="Y15" s="35">
        <v>3.584</v>
      </c>
    </row>
    <row r="16" spans="1:25" ht="12.75">
      <c r="A16" s="6">
        <v>2023</v>
      </c>
      <c r="B16" s="53">
        <v>45243</v>
      </c>
      <c r="C16" s="37">
        <f>'[1]Planilha1'!$C$38</f>
        <v>39.111111111111114</v>
      </c>
      <c r="D16" s="6">
        <v>1554</v>
      </c>
      <c r="E16" s="37">
        <f>'[1]Planilha1'!$E$38</f>
        <v>24.388888888888893</v>
      </c>
      <c r="F16" s="6">
        <v>509</v>
      </c>
      <c r="G16" s="37">
        <f>'[1]Planilha1'!$G$38</f>
        <v>31.88888888888889</v>
      </c>
      <c r="H16" s="37">
        <f>'[1]Planilha1'!$H$38</f>
        <v>61.3</v>
      </c>
      <c r="I16" s="6">
        <v>2349</v>
      </c>
      <c r="J16" s="37">
        <f>'[1]Planilha1'!$I$38</f>
        <v>21.1</v>
      </c>
      <c r="K16" s="6">
        <v>1319</v>
      </c>
      <c r="L16" s="37">
        <f>'[1]Planilha1'!$J$38</f>
        <v>39.7</v>
      </c>
      <c r="M16" s="36">
        <f>'[1]Planilha1'!$P$38</f>
        <v>0</v>
      </c>
      <c r="N16" s="34">
        <f>'[1]Planilha1'!$L$38</f>
        <v>2.1614468460520513</v>
      </c>
      <c r="O16" s="34">
        <f>'[1]Planilha1'!$N$38</f>
        <v>28.801099999999998</v>
      </c>
      <c r="P16" s="6">
        <v>1303</v>
      </c>
      <c r="Q16" s="36">
        <v>52.3</v>
      </c>
      <c r="R16" s="37">
        <v>7.69</v>
      </c>
      <c r="S16" s="36">
        <v>906.6</v>
      </c>
      <c r="T16" s="6">
        <v>1314</v>
      </c>
      <c r="U16" s="37">
        <v>54.95</v>
      </c>
      <c r="V16" s="6">
        <v>1302</v>
      </c>
      <c r="W16" s="6">
        <v>-12.55</v>
      </c>
      <c r="X16" s="6">
        <v>452</v>
      </c>
      <c r="Y16" s="35">
        <v>3.918</v>
      </c>
    </row>
    <row r="17" spans="1:25" ht="12.75">
      <c r="A17" s="6">
        <v>2023</v>
      </c>
      <c r="B17" s="53">
        <v>45244</v>
      </c>
      <c r="C17" s="37">
        <f>'[1]Planilha1'!$C$39</f>
        <v>38.111111111111114</v>
      </c>
      <c r="D17" s="6">
        <v>1532</v>
      </c>
      <c r="E17" s="37">
        <f>'[1]Planilha1'!$E$39</f>
        <v>23.77777777777778</v>
      </c>
      <c r="F17" s="6">
        <v>2349</v>
      </c>
      <c r="G17" s="37">
        <f>'[1]Planilha1'!$G$39</f>
        <v>30.77777777777778</v>
      </c>
      <c r="H17" s="37">
        <f>'[1]Planilha1'!$H$39</f>
        <v>74.8</v>
      </c>
      <c r="I17" s="6">
        <v>534</v>
      </c>
      <c r="J17" s="37">
        <f>'[1]Planilha1'!$I$39</f>
        <v>25.2</v>
      </c>
      <c r="K17" s="6">
        <v>1444</v>
      </c>
      <c r="L17" s="37">
        <f>'[1]Planilha1'!$J$39</f>
        <v>51.3</v>
      </c>
      <c r="M17" s="36">
        <f>'[1]Planilha1'!$P$39</f>
        <v>0</v>
      </c>
      <c r="N17" s="34">
        <f>'[1]Planilha1'!$L$39</f>
        <v>2.82311424790472</v>
      </c>
      <c r="O17" s="34">
        <f>'[1]Planilha1'!$N$39</f>
        <v>35.2371</v>
      </c>
      <c r="P17" s="6">
        <v>1549</v>
      </c>
      <c r="Q17" s="36">
        <v>221.6</v>
      </c>
      <c r="R17" s="37">
        <v>7.52</v>
      </c>
      <c r="S17" s="36">
        <v>910.1</v>
      </c>
      <c r="T17" s="6">
        <v>1152</v>
      </c>
      <c r="U17" s="37">
        <v>60.67</v>
      </c>
      <c r="V17" s="6">
        <v>1249</v>
      </c>
      <c r="W17" s="37">
        <v>-22.03</v>
      </c>
      <c r="X17" s="6">
        <v>607</v>
      </c>
      <c r="Y17" s="35">
        <v>4.061</v>
      </c>
    </row>
    <row r="18" spans="1:25" ht="12.75">
      <c r="A18" s="6">
        <v>2023</v>
      </c>
      <c r="B18" s="53">
        <v>45245</v>
      </c>
      <c r="C18" s="37">
        <f>'[1]Planilha1'!$C$40</f>
        <v>36.5</v>
      </c>
      <c r="D18" s="6">
        <v>1535</v>
      </c>
      <c r="E18" s="37">
        <f>'[1]Planilha1'!$E$40</f>
        <v>22.11111111111111</v>
      </c>
      <c r="F18" s="6">
        <v>534</v>
      </c>
      <c r="G18" s="37">
        <f>'[1]Planilha1'!$G$40</f>
        <v>27.055555555555557</v>
      </c>
      <c r="H18" s="37">
        <f>'[1]Planilha1'!$H$40</f>
        <v>91.1</v>
      </c>
      <c r="I18" s="6">
        <v>539</v>
      </c>
      <c r="J18" s="37">
        <f>'[1]Planilha1'!$I$40</f>
        <v>33.3</v>
      </c>
      <c r="K18" s="6">
        <v>1443</v>
      </c>
      <c r="L18" s="37">
        <f>'[1]Planilha1'!$J$40</f>
        <v>67.9</v>
      </c>
      <c r="M18" s="36">
        <v>8.5</v>
      </c>
      <c r="N18" s="34">
        <f>'[1]Planilha1'!$L$40</f>
        <v>2.779003087781209</v>
      </c>
      <c r="O18" s="34">
        <f>'[1]Planilha1'!$N$40</f>
        <v>40.3859</v>
      </c>
      <c r="P18" s="6">
        <v>1845</v>
      </c>
      <c r="Q18" s="36">
        <v>236.5</v>
      </c>
      <c r="R18" s="6">
        <v>7.18</v>
      </c>
      <c r="S18" s="36">
        <v>907.3</v>
      </c>
      <c r="T18" s="6">
        <v>1203</v>
      </c>
      <c r="U18" s="37">
        <v>63.62</v>
      </c>
      <c r="V18" s="6">
        <v>1441</v>
      </c>
      <c r="W18" s="6">
        <v>-46.63</v>
      </c>
      <c r="X18" s="6">
        <v>247.2</v>
      </c>
      <c r="Y18" s="35">
        <v>2.93</v>
      </c>
    </row>
    <row r="19" spans="1:25" ht="12.75">
      <c r="A19" s="6">
        <v>2023</v>
      </c>
      <c r="B19" s="53">
        <v>45246</v>
      </c>
      <c r="C19" s="37">
        <f>'[1]Planilha1'!$C$41</f>
        <v>36.611111111111114</v>
      </c>
      <c r="D19" s="6">
        <v>1524</v>
      </c>
      <c r="E19" s="37">
        <f>'[1]Planilha1'!$E$41</f>
        <v>20.72222222222222</v>
      </c>
      <c r="F19" s="6">
        <v>604</v>
      </c>
      <c r="G19" s="37">
        <f>'[1]Planilha1'!$G$41</f>
        <v>28.72222222222222</v>
      </c>
      <c r="H19" s="37">
        <f>'[1]Planilha1'!$H$41</f>
        <v>90.9</v>
      </c>
      <c r="I19" s="6">
        <v>243</v>
      </c>
      <c r="J19" s="37">
        <f>'[1]Planilha1'!$I$41</f>
        <v>31.1</v>
      </c>
      <c r="K19" s="6">
        <v>1524</v>
      </c>
      <c r="L19" s="37">
        <f>'[1]Planilha1'!$J$41</f>
        <v>59.2</v>
      </c>
      <c r="M19" s="36">
        <f>'[1]Planilha1'!$P$41</f>
        <v>0</v>
      </c>
      <c r="N19" s="34">
        <f>'[1]Planilha1'!$L$41</f>
        <v>1.8967798853109836</v>
      </c>
      <c r="O19" s="34">
        <f>'[1]Planilha1'!$N$41</f>
        <v>27.674799999999998</v>
      </c>
      <c r="P19" s="6">
        <v>1029</v>
      </c>
      <c r="Q19" s="36">
        <v>37.4</v>
      </c>
      <c r="R19" s="6">
        <v>7.22</v>
      </c>
      <c r="S19" s="36">
        <v>921.3</v>
      </c>
      <c r="T19" s="6">
        <v>939</v>
      </c>
      <c r="U19" s="37">
        <v>52.03</v>
      </c>
      <c r="V19" s="6">
        <v>1322</v>
      </c>
      <c r="W19" s="37">
        <v>-19.01</v>
      </c>
      <c r="X19" s="6">
        <v>529</v>
      </c>
      <c r="Y19" s="35">
        <v>4.258</v>
      </c>
    </row>
    <row r="20" spans="1:25" ht="12.75">
      <c r="A20" s="6">
        <v>2023</v>
      </c>
      <c r="B20" s="53">
        <v>45247</v>
      </c>
      <c r="C20" s="37">
        <f>'[1]Planilha1'!$C$42</f>
        <v>37.72222222222222</v>
      </c>
      <c r="D20" s="6">
        <v>1629</v>
      </c>
      <c r="E20" s="37">
        <f>'[1]Planilha1'!$E$42</f>
        <v>23.88888888888889</v>
      </c>
      <c r="F20" s="6">
        <v>454</v>
      </c>
      <c r="G20" s="37">
        <f>'[1]Planilha1'!$G$42</f>
        <v>30.77777777777778</v>
      </c>
      <c r="H20" s="37">
        <f>'[1]Planilha1'!$H$42</f>
        <v>78.2</v>
      </c>
      <c r="I20" s="6">
        <v>433</v>
      </c>
      <c r="J20" s="37">
        <f>'[1]Planilha1'!$I$42</f>
        <v>29.2</v>
      </c>
      <c r="K20" s="6">
        <v>1619</v>
      </c>
      <c r="L20" s="37">
        <f>'[1]Planilha1'!$J$42</f>
        <v>54.1</v>
      </c>
      <c r="M20" s="36">
        <f>'[1]Planilha1'!$P$42</f>
        <v>0</v>
      </c>
      <c r="N20" s="34">
        <f>'[1]Planilha1'!$L$42</f>
        <v>1.9850022055580063</v>
      </c>
      <c r="O20" s="34">
        <f>'[1]Planilha1'!$N$42</f>
        <v>27.031200000000002</v>
      </c>
      <c r="P20" s="6">
        <v>914</v>
      </c>
      <c r="Q20" s="36">
        <v>54.1</v>
      </c>
      <c r="R20" s="6">
        <v>7.53</v>
      </c>
      <c r="S20" s="36">
        <v>924.4</v>
      </c>
      <c r="T20" s="6">
        <v>1219</v>
      </c>
      <c r="U20" s="37">
        <v>53.79</v>
      </c>
      <c r="V20" s="6">
        <v>1322</v>
      </c>
      <c r="W20" s="37">
        <v>-21.18</v>
      </c>
      <c r="X20" s="6">
        <v>509</v>
      </c>
      <c r="Y20" s="35">
        <v>4.531</v>
      </c>
    </row>
    <row r="21" spans="1:25" ht="12.75">
      <c r="A21" s="6">
        <v>2023</v>
      </c>
      <c r="B21" s="53">
        <v>45248</v>
      </c>
      <c r="C21" s="37">
        <f>'[1]Planilha1'!$C$43</f>
        <v>36.388888888888886</v>
      </c>
      <c r="D21" s="6">
        <v>1459</v>
      </c>
      <c r="E21" s="37">
        <f>'[1]Planilha1'!$E$43</f>
        <v>23.388888888888886</v>
      </c>
      <c r="F21" s="6">
        <v>529</v>
      </c>
      <c r="G21" s="37">
        <f>'[1]Planilha1'!$G$43</f>
        <v>29.444444444444443</v>
      </c>
      <c r="H21" s="37">
        <f>'[1]Planilha1'!$H$43</f>
        <v>85.3</v>
      </c>
      <c r="I21" s="6">
        <v>529</v>
      </c>
      <c r="J21" s="37">
        <f>'[1]Planilha1'!$I$43</f>
        <v>38</v>
      </c>
      <c r="K21" s="6">
        <v>1419</v>
      </c>
      <c r="L21" s="37">
        <f>'[1]Planilha1'!$J$43</f>
        <v>62.3</v>
      </c>
      <c r="M21" s="36">
        <f>'[1]Planilha1'!$P$43</f>
        <v>0</v>
      </c>
      <c r="N21" s="34">
        <f>'[1]Planilha1'!$L$43</f>
        <v>3.264225849139833</v>
      </c>
      <c r="O21" s="34">
        <f>'[1]Planilha1'!$N$43</f>
        <v>37.007</v>
      </c>
      <c r="P21" s="6">
        <v>1214</v>
      </c>
      <c r="Q21" s="36">
        <v>6.3</v>
      </c>
      <c r="R21" s="37">
        <v>7.41</v>
      </c>
      <c r="S21" s="36">
        <v>922.3</v>
      </c>
      <c r="T21" s="6">
        <v>1214</v>
      </c>
      <c r="U21" s="37">
        <v>60.11</v>
      </c>
      <c r="V21" s="6">
        <v>1252</v>
      </c>
      <c r="W21" s="37">
        <v>-19.61</v>
      </c>
      <c r="X21" s="6">
        <v>556</v>
      </c>
      <c r="Y21" s="35">
        <v>3.91</v>
      </c>
    </row>
    <row r="22" spans="1:27" ht="12.75">
      <c r="A22" s="6">
        <v>2023</v>
      </c>
      <c r="B22" s="53">
        <v>45249</v>
      </c>
      <c r="C22" s="37">
        <f>'[1]Planilha1'!$C$44</f>
        <v>36</v>
      </c>
      <c r="D22" s="6">
        <v>1404</v>
      </c>
      <c r="E22" s="37">
        <f>'[1]Planilha1'!$E$44</f>
        <v>20.38888888888889</v>
      </c>
      <c r="F22" s="6">
        <v>2344</v>
      </c>
      <c r="G22" s="37">
        <f>'[1]Planilha1'!$G$44</f>
        <v>26.611111111111114</v>
      </c>
      <c r="H22" s="37">
        <f>'[1]Planilha1'!$H$44</f>
        <v>99</v>
      </c>
      <c r="I22" s="6">
        <v>1924</v>
      </c>
      <c r="J22" s="37">
        <f>'[1]Planilha1'!$I$44</f>
        <v>42.2</v>
      </c>
      <c r="K22" s="6">
        <v>1354</v>
      </c>
      <c r="L22" s="37">
        <f>'[1]Planilha1'!$J$44</f>
        <v>75.3</v>
      </c>
      <c r="M22" s="36">
        <v>22</v>
      </c>
      <c r="N22" s="34">
        <f>'[1]Planilha1'!$L$44</f>
        <v>3.484781649757389</v>
      </c>
      <c r="O22" s="34">
        <f>'[1]Planilha1'!$N$44</f>
        <v>62.2683</v>
      </c>
      <c r="P22" s="6">
        <v>1414</v>
      </c>
      <c r="Q22" s="36">
        <v>48.7</v>
      </c>
      <c r="R22" s="37">
        <v>7.45</v>
      </c>
      <c r="S22" s="36">
        <v>979.5</v>
      </c>
      <c r="T22" s="6">
        <v>1259</v>
      </c>
      <c r="U22" s="37">
        <v>45.59</v>
      </c>
      <c r="V22" s="6">
        <v>1334</v>
      </c>
      <c r="W22" s="37">
        <v>-17.98</v>
      </c>
      <c r="X22" s="6">
        <v>528</v>
      </c>
      <c r="Y22" s="35">
        <v>2.854</v>
      </c>
      <c r="AA22" s="27"/>
    </row>
    <row r="23" spans="1:25" ht="12.75">
      <c r="A23" s="6">
        <v>2023</v>
      </c>
      <c r="B23" s="53">
        <v>45250</v>
      </c>
      <c r="C23" s="37">
        <f>'[1]Planilha1'!$C$45</f>
        <v>29.5</v>
      </c>
      <c r="D23" s="6">
        <v>1319</v>
      </c>
      <c r="E23" s="37">
        <f>'[1]Planilha1'!$E$45</f>
        <v>20.500000000000004</v>
      </c>
      <c r="F23" s="6">
        <v>24</v>
      </c>
      <c r="G23" s="37">
        <f>'[1]Planilha1'!$G$45</f>
        <v>24.72222222222222</v>
      </c>
      <c r="H23" s="37">
        <f>'[1]Planilha1'!$H$45</f>
        <v>98.6</v>
      </c>
      <c r="I23" s="6">
        <v>4</v>
      </c>
      <c r="J23" s="37">
        <f>'[1]Planilha1'!$I$45</f>
        <v>62.1</v>
      </c>
      <c r="K23" s="6">
        <v>1644</v>
      </c>
      <c r="L23" s="37">
        <f>'[1]Planilha1'!$J$45</f>
        <v>81.8</v>
      </c>
      <c r="M23" s="36">
        <f>'[1]Planilha1'!$P$45</f>
        <v>0</v>
      </c>
      <c r="N23" s="34">
        <f>'[1]Planilha1'!$L$45</f>
        <v>1.9408910454344952</v>
      </c>
      <c r="O23" s="34">
        <f>'[1]Planilha1'!$N$45</f>
        <v>20.1125</v>
      </c>
      <c r="P23" s="6">
        <v>1354</v>
      </c>
      <c r="Q23" s="36">
        <v>130.5</v>
      </c>
      <c r="R23" s="37">
        <v>6.74</v>
      </c>
      <c r="S23" s="36">
        <v>1127</v>
      </c>
      <c r="T23" s="6">
        <v>1147</v>
      </c>
      <c r="U23" s="37">
        <v>32.52</v>
      </c>
      <c r="V23" s="6">
        <v>1555</v>
      </c>
      <c r="W23" s="37">
        <v>-151.4</v>
      </c>
      <c r="X23" s="6">
        <v>342</v>
      </c>
      <c r="Y23" s="35">
        <v>1.655</v>
      </c>
    </row>
    <row r="24" spans="1:25" ht="12.75">
      <c r="A24" s="6">
        <v>2023</v>
      </c>
      <c r="B24" s="53">
        <v>45251</v>
      </c>
      <c r="C24" s="37">
        <f>'[1]Planilha1'!$C$46</f>
        <v>33.611111111111114</v>
      </c>
      <c r="D24" s="6">
        <v>1549</v>
      </c>
      <c r="E24" s="37">
        <f>'[1]Planilha1'!$E$46</f>
        <v>22.277777777777775</v>
      </c>
      <c r="F24" s="6">
        <v>424</v>
      </c>
      <c r="G24" s="37">
        <f>'[1]Planilha1'!$G$46</f>
        <v>25.833333333333332</v>
      </c>
      <c r="H24" s="37">
        <f>'[1]Planilha1'!$H$46</f>
        <v>95.9</v>
      </c>
      <c r="I24" s="6">
        <v>54</v>
      </c>
      <c r="J24" s="37">
        <f>'[1]Planilha1'!$I$46</f>
        <v>48.8</v>
      </c>
      <c r="K24" s="6">
        <v>1509</v>
      </c>
      <c r="L24" s="37">
        <f>'[1]Planilha1'!$J$46</f>
        <v>80.1</v>
      </c>
      <c r="M24" s="36">
        <v>5.2</v>
      </c>
      <c r="N24" s="34">
        <f>'[1]Planilha1'!$L$46</f>
        <v>2.0291133656815172</v>
      </c>
      <c r="O24" s="34">
        <f>'[1]Planilha1'!$N$46</f>
        <v>38.937799999999996</v>
      </c>
      <c r="P24" s="6">
        <v>1754</v>
      </c>
      <c r="Q24" s="36">
        <v>42.3</v>
      </c>
      <c r="R24" s="37">
        <v>6.89</v>
      </c>
      <c r="S24" s="36">
        <v>1041.6</v>
      </c>
      <c r="T24" s="6">
        <v>1254</v>
      </c>
      <c r="U24" s="37">
        <v>69.23</v>
      </c>
      <c r="V24" s="6">
        <v>1228</v>
      </c>
      <c r="W24" s="37">
        <v>-20.59</v>
      </c>
      <c r="X24" s="6">
        <v>431</v>
      </c>
      <c r="Y24" s="39">
        <v>2.898</v>
      </c>
    </row>
    <row r="25" spans="1:25" ht="12.75">
      <c r="A25" s="6">
        <v>2023</v>
      </c>
      <c r="B25" s="53">
        <v>45252</v>
      </c>
      <c r="C25" s="37">
        <f>'[1]Planilha1'!$C$47</f>
        <v>32.72222222222222</v>
      </c>
      <c r="D25" s="6">
        <v>1509</v>
      </c>
      <c r="E25" s="37">
        <f>'[1]Planilha1'!$E$47</f>
        <v>21.722222222222218</v>
      </c>
      <c r="F25" s="6">
        <v>549</v>
      </c>
      <c r="G25" s="37">
        <f>'[1]Planilha1'!$G$47</f>
        <v>25.555555555555557</v>
      </c>
      <c r="H25" s="37">
        <f>'[1]Planilha1'!$H$47</f>
        <v>98.8</v>
      </c>
      <c r="I25" s="6">
        <v>549</v>
      </c>
      <c r="J25" s="37">
        <f>'[1]Planilha1'!$I$47</f>
        <v>55.3</v>
      </c>
      <c r="K25" s="6">
        <v>1454</v>
      </c>
      <c r="L25" s="37">
        <f>'[1]Planilha1'!$J$47</f>
        <v>83.2</v>
      </c>
      <c r="M25" s="36">
        <v>0</v>
      </c>
      <c r="N25" s="34">
        <f>'[1]Planilha1'!$L$47</f>
        <v>1.8967798853109836</v>
      </c>
      <c r="O25" s="34">
        <f>'[1]Planilha1'!$N$47</f>
        <v>35.5589</v>
      </c>
      <c r="P25" s="6">
        <v>1644</v>
      </c>
      <c r="Q25" s="36">
        <v>48.1</v>
      </c>
      <c r="R25" s="37">
        <v>6.75</v>
      </c>
      <c r="S25" s="36">
        <v>1141.3</v>
      </c>
      <c r="T25" s="6">
        <v>1159</v>
      </c>
      <c r="U25" s="37">
        <v>45.98</v>
      </c>
      <c r="V25" s="6">
        <v>1330</v>
      </c>
      <c r="W25" s="37">
        <v>-20.03</v>
      </c>
      <c r="X25" s="6">
        <v>533</v>
      </c>
      <c r="Y25" s="35">
        <v>3.243</v>
      </c>
    </row>
    <row r="26" spans="1:26" ht="12.75">
      <c r="A26" s="6">
        <v>2023</v>
      </c>
      <c r="B26" s="53">
        <v>45253</v>
      </c>
      <c r="C26" s="37">
        <f>'[1]Planilha1'!$C$48</f>
        <v>31.72222222222222</v>
      </c>
      <c r="D26" s="6">
        <v>1359</v>
      </c>
      <c r="E26" s="37">
        <f>'[1]Planilha1'!$E$48</f>
        <v>21.77777777777778</v>
      </c>
      <c r="F26" s="6">
        <v>351</v>
      </c>
      <c r="G26" s="37">
        <f>'[1]Planilha1'!$G$48</f>
        <v>24.833333333333332</v>
      </c>
      <c r="H26" s="37">
        <f>'[1]Planilha1'!$H$48</f>
        <v>98.7</v>
      </c>
      <c r="I26" s="6">
        <v>304</v>
      </c>
      <c r="J26" s="37">
        <f>'[1]Planilha1'!$I$48</f>
        <v>69.9</v>
      </c>
      <c r="K26" s="6">
        <v>1354</v>
      </c>
      <c r="L26" s="37">
        <f>'[1]Planilha1'!$J$48</f>
        <v>71.7</v>
      </c>
      <c r="M26" s="36">
        <v>1.2</v>
      </c>
      <c r="N26" s="34">
        <f>'[1]Planilha1'!$L$48</f>
        <v>2.1614468460520513</v>
      </c>
      <c r="O26" s="34">
        <f>'[1]Planilha1'!$N$48</f>
        <v>37.007</v>
      </c>
      <c r="P26" s="6">
        <v>1804</v>
      </c>
      <c r="Q26" s="36">
        <v>3.2</v>
      </c>
      <c r="R26" s="37">
        <v>6.56</v>
      </c>
      <c r="S26" s="36">
        <v>1238.5</v>
      </c>
      <c r="T26" s="6">
        <v>1258</v>
      </c>
      <c r="U26" s="37">
        <v>36.21</v>
      </c>
      <c r="V26" s="6">
        <v>1158</v>
      </c>
      <c r="W26" s="37">
        <v>-16.6</v>
      </c>
      <c r="X26" s="6">
        <v>454</v>
      </c>
      <c r="Y26" s="35">
        <v>2.697</v>
      </c>
      <c r="Z26" s="32"/>
    </row>
    <row r="27" spans="1:25" ht="12.75">
      <c r="A27" s="6">
        <v>2023</v>
      </c>
      <c r="B27" s="53">
        <v>45254</v>
      </c>
      <c r="C27" s="37">
        <f>'[1]Planilha1'!$C$49</f>
        <v>30.11111111111111</v>
      </c>
      <c r="D27" s="6">
        <v>1224</v>
      </c>
      <c r="E27" s="37">
        <f>'[1]Planilha1'!$E$49</f>
        <v>20.500000000000004</v>
      </c>
      <c r="F27" s="6">
        <v>2358</v>
      </c>
      <c r="G27" s="37">
        <f>'[1]Planilha1'!$G$49</f>
        <v>24.61111111111111</v>
      </c>
      <c r="H27" s="37">
        <f>'[1]Planilha1'!$H$49</f>
        <v>98.8</v>
      </c>
      <c r="I27" s="6">
        <v>2354</v>
      </c>
      <c r="J27" s="37">
        <f>'[1]Planilha1'!$I$49</f>
        <v>63.2</v>
      </c>
      <c r="K27" s="6">
        <v>1219</v>
      </c>
      <c r="L27" s="37">
        <f>'[1]Planilha1'!$J$49</f>
        <v>85.1</v>
      </c>
      <c r="M27" s="36">
        <v>0.8</v>
      </c>
      <c r="N27" s="34">
        <f>'[1]Planilha1'!$L$49</f>
        <v>2.867225408028231</v>
      </c>
      <c r="O27" s="34">
        <f>'[1]Planilha1'!$N$49</f>
        <v>42.1558</v>
      </c>
      <c r="P27" s="6">
        <v>1358</v>
      </c>
      <c r="Q27" s="36">
        <v>169.3</v>
      </c>
      <c r="R27" s="37">
        <v>5.87</v>
      </c>
      <c r="S27" s="36">
        <v>1087.9</v>
      </c>
      <c r="T27" s="6">
        <v>1119</v>
      </c>
      <c r="U27" s="37">
        <v>34.54</v>
      </c>
      <c r="V27" s="6">
        <v>1340</v>
      </c>
      <c r="W27" s="37">
        <v>-20.55</v>
      </c>
      <c r="X27" s="6">
        <v>1732</v>
      </c>
      <c r="Y27" s="35">
        <v>1.623</v>
      </c>
    </row>
    <row r="28" spans="1:26" ht="12.75">
      <c r="A28" s="6">
        <v>2023</v>
      </c>
      <c r="B28" s="53">
        <v>45255</v>
      </c>
      <c r="C28" s="37">
        <f>'[1]Planilha1'!$C$50</f>
        <v>31.27777777777778</v>
      </c>
      <c r="D28" s="6">
        <v>1609</v>
      </c>
      <c r="E28" s="37">
        <f>'[1]Planilha1'!$E$50</f>
        <v>17.77777777777778</v>
      </c>
      <c r="F28" s="6">
        <v>528</v>
      </c>
      <c r="G28" s="37">
        <f>'[1]Planilha1'!$G$50</f>
        <v>24.333333333333332</v>
      </c>
      <c r="H28" s="37">
        <f>'[1]Planilha1'!$H$50</f>
        <v>90.1</v>
      </c>
      <c r="I28" s="6">
        <v>508</v>
      </c>
      <c r="J28" s="37">
        <f>'[1]Planilha1'!$I$50</f>
        <v>52.3</v>
      </c>
      <c r="K28" s="6">
        <v>1424</v>
      </c>
      <c r="L28" s="37">
        <f>'[1]Planilha1'!$J$50</f>
        <v>74.8</v>
      </c>
      <c r="M28" s="36">
        <v>0.5</v>
      </c>
      <c r="N28" s="34">
        <f>'[1]Planilha1'!$L$50</f>
        <v>3.705337450374945</v>
      </c>
      <c r="O28" s="34">
        <f>'[1]Planilha1'!$N$50</f>
        <v>27.996599999999997</v>
      </c>
      <c r="P28" s="6">
        <v>1729</v>
      </c>
      <c r="Q28" s="36">
        <v>176.2</v>
      </c>
      <c r="R28" s="37">
        <v>6.12</v>
      </c>
      <c r="S28" s="36">
        <v>1168.2</v>
      </c>
      <c r="T28" s="6">
        <v>1042</v>
      </c>
      <c r="U28" s="37">
        <v>31.29</v>
      </c>
      <c r="V28" s="6">
        <v>1153</v>
      </c>
      <c r="W28" s="37">
        <v>-48.23</v>
      </c>
      <c r="X28" s="6">
        <v>600</v>
      </c>
      <c r="Y28" s="39">
        <v>2.314</v>
      </c>
      <c r="Z28" s="27"/>
    </row>
    <row r="29" spans="1:26" ht="12.75">
      <c r="A29" s="6">
        <v>2023</v>
      </c>
      <c r="B29" s="53">
        <v>45256</v>
      </c>
      <c r="C29" s="37">
        <f>'[1]Planilha1'!$C$51</f>
        <v>33</v>
      </c>
      <c r="D29" s="6">
        <v>1318</v>
      </c>
      <c r="E29" s="37">
        <f>'[1]Planilha1'!$E$51</f>
        <v>19.111111111111114</v>
      </c>
      <c r="F29" s="6">
        <v>454</v>
      </c>
      <c r="G29" s="37">
        <f>'[1]Planilha1'!$G$51</f>
        <v>25.666666666666668</v>
      </c>
      <c r="H29" s="37">
        <f>'[1]Planilha1'!$H$51</f>
        <v>93.2</v>
      </c>
      <c r="I29" s="6">
        <v>504</v>
      </c>
      <c r="J29" s="37">
        <f>'[1]Planilha1'!$I$51</f>
        <v>44.8</v>
      </c>
      <c r="K29" s="6">
        <v>1454</v>
      </c>
      <c r="L29" s="37">
        <f>'[1]Planilha1'!$J$51</f>
        <v>72.3</v>
      </c>
      <c r="M29" s="36">
        <v>0</v>
      </c>
      <c r="N29" s="34">
        <f>'[1]Planilha1'!$L$51</f>
        <v>3.0436700485222765</v>
      </c>
      <c r="O29" s="34">
        <f>'[1]Planilha1'!$N$51</f>
        <v>33.1454</v>
      </c>
      <c r="P29" s="6">
        <v>1544</v>
      </c>
      <c r="Q29" s="44">
        <v>185.3</v>
      </c>
      <c r="R29" s="37">
        <v>6.37</v>
      </c>
      <c r="S29" s="36">
        <v>1049.4</v>
      </c>
      <c r="T29" s="6">
        <v>1158</v>
      </c>
      <c r="U29" s="37">
        <v>16.08</v>
      </c>
      <c r="V29" s="6">
        <v>1250</v>
      </c>
      <c r="W29" s="37">
        <v>-42.411</v>
      </c>
      <c r="X29" s="6">
        <v>432</v>
      </c>
      <c r="Y29" s="35">
        <v>3.669</v>
      </c>
      <c r="Z29" s="27"/>
    </row>
    <row r="30" spans="1:25" ht="12.75">
      <c r="A30" s="6">
        <v>2023</v>
      </c>
      <c r="B30" s="53">
        <v>45257</v>
      </c>
      <c r="C30" s="37">
        <f>'[1]Planilha1'!$C$52</f>
        <v>29.22222222222222</v>
      </c>
      <c r="D30" s="6">
        <v>1554</v>
      </c>
      <c r="E30" s="37">
        <f>'[1]Planilha1'!$E$52</f>
        <v>21.27777777777778</v>
      </c>
      <c r="F30" s="6">
        <v>553</v>
      </c>
      <c r="G30" s="37">
        <f>'[1]Planilha1'!$G$52</f>
        <v>25.11111111111111</v>
      </c>
      <c r="H30" s="37">
        <f>'[1]Planilha1'!$H$52</f>
        <v>94.9</v>
      </c>
      <c r="I30" s="6">
        <v>553</v>
      </c>
      <c r="J30" s="37">
        <f>'[1]Planilha1'!$I$52</f>
        <v>60.1</v>
      </c>
      <c r="K30" s="6">
        <v>1549</v>
      </c>
      <c r="L30" s="37">
        <f>'[1]Planilha1'!$J$52</f>
        <v>80.2</v>
      </c>
      <c r="M30" s="36">
        <v>0</v>
      </c>
      <c r="N30" s="34">
        <f>'[1]Planilha1'!$L$52</f>
        <v>2.2055580061755626</v>
      </c>
      <c r="O30" s="34">
        <f>'[1]Planilha1'!$N$52</f>
        <v>21.8824</v>
      </c>
      <c r="P30" s="6">
        <v>844</v>
      </c>
      <c r="Q30" s="36">
        <v>132.4</v>
      </c>
      <c r="R30" s="37">
        <v>5.42</v>
      </c>
      <c r="S30" s="36">
        <v>1100.5</v>
      </c>
      <c r="T30" s="6">
        <v>1157</v>
      </c>
      <c r="U30" s="37">
        <v>12.67</v>
      </c>
      <c r="V30" s="6">
        <v>1414</v>
      </c>
      <c r="W30" s="37">
        <v>-37.93</v>
      </c>
      <c r="X30" s="6">
        <v>2334</v>
      </c>
      <c r="Y30" s="35">
        <v>1.785</v>
      </c>
    </row>
    <row r="31" spans="1:25" ht="12.75">
      <c r="A31" s="6">
        <v>2023</v>
      </c>
      <c r="B31" s="53">
        <v>45258</v>
      </c>
      <c r="C31" s="37">
        <f>'[1]Planilha1'!$C$53</f>
        <v>32.72222222222222</v>
      </c>
      <c r="D31" s="6">
        <v>1353</v>
      </c>
      <c r="E31" s="37">
        <f>'[1]Planilha1'!$E$53</f>
        <v>20.611111111111107</v>
      </c>
      <c r="F31" s="6">
        <v>2258</v>
      </c>
      <c r="G31" s="37">
        <f>'[1]Planilha1'!$G$53</f>
        <v>25.38888888888889</v>
      </c>
      <c r="H31" s="37">
        <f>'[1]Planilha1'!$H$53</f>
        <v>99.3</v>
      </c>
      <c r="I31" s="6">
        <v>2249</v>
      </c>
      <c r="J31" s="37">
        <f>'[1]Planilha1'!$I$53</f>
        <v>49.2</v>
      </c>
      <c r="K31" s="6">
        <v>1324</v>
      </c>
      <c r="L31" s="37">
        <f>'[1]Planilha1'!$J$53</f>
        <v>77.1</v>
      </c>
      <c r="M31" s="36">
        <v>42.3</v>
      </c>
      <c r="N31" s="34">
        <f>'[1]Planilha1'!$L$53</f>
        <v>2.955447728275254</v>
      </c>
      <c r="O31" s="34">
        <f>'[1]Planilha1'!$N$53</f>
        <v>32.019099999999995</v>
      </c>
      <c r="P31" s="6">
        <v>1614</v>
      </c>
      <c r="Q31" s="36">
        <v>60.1</v>
      </c>
      <c r="R31" s="37">
        <v>5.94</v>
      </c>
      <c r="S31" s="36">
        <v>1105.8</v>
      </c>
      <c r="T31" s="6">
        <v>1122</v>
      </c>
      <c r="U31" s="37">
        <v>31.81</v>
      </c>
      <c r="V31" s="6">
        <v>1114</v>
      </c>
      <c r="W31" s="37">
        <v>-30.87</v>
      </c>
      <c r="X31" s="6">
        <v>2007</v>
      </c>
      <c r="Y31" s="35">
        <v>2.182</v>
      </c>
    </row>
    <row r="32" spans="1:25" ht="12.75">
      <c r="A32" s="6">
        <v>2023</v>
      </c>
      <c r="B32" s="53">
        <v>45259</v>
      </c>
      <c r="C32" s="37">
        <v>28.7</v>
      </c>
      <c r="D32" s="6">
        <v>1404</v>
      </c>
      <c r="E32" s="37">
        <v>20.2</v>
      </c>
      <c r="F32" s="6">
        <v>558</v>
      </c>
      <c r="G32" s="37">
        <v>23.5</v>
      </c>
      <c r="H32" s="37">
        <v>99.5</v>
      </c>
      <c r="I32" s="6">
        <v>2341</v>
      </c>
      <c r="J32" s="37">
        <v>61.42</v>
      </c>
      <c r="K32" s="6">
        <v>1405</v>
      </c>
      <c r="L32" s="37">
        <v>82.5</v>
      </c>
      <c r="M32" s="36">
        <v>8.4</v>
      </c>
      <c r="N32" s="34">
        <v>2.13</v>
      </c>
      <c r="O32" s="34">
        <v>25.43</v>
      </c>
      <c r="P32" s="6">
        <v>2314</v>
      </c>
      <c r="Q32" s="36">
        <v>56.4</v>
      </c>
      <c r="R32" s="37">
        <v>5.01</v>
      </c>
      <c r="S32" s="36">
        <v>945.6</v>
      </c>
      <c r="T32" s="6">
        <v>1149</v>
      </c>
      <c r="U32" s="37">
        <v>16.35</v>
      </c>
      <c r="V32" s="6">
        <v>1323</v>
      </c>
      <c r="W32" s="37">
        <v>-163.2</v>
      </c>
      <c r="X32" s="6">
        <v>2119</v>
      </c>
      <c r="Y32" s="35">
        <v>1.31</v>
      </c>
    </row>
    <row r="33" spans="1:25" ht="12.75">
      <c r="A33" s="6">
        <v>2023</v>
      </c>
      <c r="B33" s="53">
        <v>45260</v>
      </c>
      <c r="C33" s="37">
        <v>31.5</v>
      </c>
      <c r="D33" s="6">
        <v>1415</v>
      </c>
      <c r="E33" s="37">
        <v>19.3</v>
      </c>
      <c r="F33" s="6">
        <v>602</v>
      </c>
      <c r="G33" s="37">
        <v>24.3</v>
      </c>
      <c r="H33" s="37">
        <v>96.4</v>
      </c>
      <c r="I33" s="6">
        <v>552</v>
      </c>
      <c r="J33" s="37">
        <v>51.86</v>
      </c>
      <c r="K33" s="6">
        <v>1502</v>
      </c>
      <c r="L33" s="37">
        <v>72.2</v>
      </c>
      <c r="M33" s="36">
        <v>2.1</v>
      </c>
      <c r="N33" s="34">
        <v>2.2</v>
      </c>
      <c r="O33" s="34">
        <v>22.21</v>
      </c>
      <c r="P33" s="6">
        <v>842</v>
      </c>
      <c r="Q33" s="36">
        <v>126.4</v>
      </c>
      <c r="R33" s="37">
        <v>6.11</v>
      </c>
      <c r="S33" s="36">
        <v>1057.3</v>
      </c>
      <c r="T33" s="6">
        <v>1202</v>
      </c>
      <c r="U33" s="37">
        <v>31.29</v>
      </c>
      <c r="V33" s="6">
        <v>1153</v>
      </c>
      <c r="W33" s="37">
        <v>-48.23</v>
      </c>
      <c r="X33" s="6">
        <v>600</v>
      </c>
      <c r="Y33" s="39">
        <v>2.314</v>
      </c>
    </row>
    <row r="34" spans="2:25" ht="12.75">
      <c r="B34" s="33"/>
      <c r="C34" s="40">
        <f>AVERAGE(C4:C33)</f>
        <v>33.51222222222221</v>
      </c>
      <c r="D34" s="33"/>
      <c r="E34" s="40">
        <f>AVERAGE(E4:E33)</f>
        <v>20.785185185185185</v>
      </c>
      <c r="F34" s="33"/>
      <c r="G34" s="40">
        <f>AVERAGE(G4:G33)</f>
        <v>26.615555555555556</v>
      </c>
      <c r="H34" s="40">
        <f>AVERAGE(H4:H33)</f>
        <v>87.76333333333334</v>
      </c>
      <c r="I34" s="33"/>
      <c r="J34" s="40">
        <f>AVERAGE(J4:J33)</f>
        <v>42.346</v>
      </c>
      <c r="K34" s="33"/>
      <c r="L34" s="40">
        <f>AVERAGE(L4:L33)</f>
        <v>66.13</v>
      </c>
      <c r="M34" s="41">
        <f>SUM(M4:M33)</f>
        <v>162.1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41">
        <f>SUM(Y4:Y33)</f>
        <v>84.77200000000002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7" r:id="rId1"/>
  <headerFooter alignWithMargins="0">
    <oddHeader>&amp;C&amp;"Arial,Negrito"DADOS METEOROLÓGICOS - ESTAÇÃO EXPERIMENTAL DE CITRICULTURA DE BEBEDOURO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="80" zoomScaleNormal="80" zoomScaleSheetLayoutView="75" workbookViewId="0" topLeftCell="B2">
      <selection activeCell="N35" sqref="N35"/>
    </sheetView>
  </sheetViews>
  <sheetFormatPr defaultColWidth="9.140625" defaultRowHeight="12.75"/>
  <cols>
    <col min="1" max="1" width="7.28125" style="0" customWidth="1"/>
    <col min="2" max="2" width="8.28125" style="0" customWidth="1"/>
    <col min="3" max="3" width="11.00390625" style="0" customWidth="1"/>
    <col min="5" max="5" width="10.421875" style="0" customWidth="1"/>
    <col min="6" max="6" width="8.28125" style="0" customWidth="1"/>
    <col min="7" max="7" width="9.7109375" style="0" customWidth="1"/>
    <col min="9" max="9" width="7.28125" style="0" customWidth="1"/>
    <col min="11" max="11" width="7.28125" style="0" customWidth="1"/>
    <col min="13" max="13" width="7.28125" style="0" customWidth="1"/>
    <col min="14" max="14" width="10.28125" style="0" bestFit="1" customWidth="1"/>
    <col min="16" max="16" width="7.7109375" style="0" customWidth="1"/>
    <col min="17" max="17" width="7.28125" style="0" customWidth="1"/>
    <col min="18" max="18" width="8.421875" style="0" customWidth="1"/>
    <col min="19" max="19" width="8.7109375" style="0" customWidth="1"/>
    <col min="20" max="20" width="8.00390625" style="0" customWidth="1"/>
    <col min="21" max="21" width="8.28125" style="0" customWidth="1"/>
    <col min="22" max="22" width="6.7109375" style="0" customWidth="1"/>
    <col min="23" max="23" width="8.28125" style="0" customWidth="1"/>
    <col min="24" max="24" width="6.7109375" style="0" customWidth="1"/>
    <col min="25" max="25" width="7.7109375" style="0" customWidth="1"/>
  </cols>
  <sheetData>
    <row r="1" spans="1:5" ht="12.75">
      <c r="A1" s="70">
        <v>39448</v>
      </c>
      <c r="B1" s="70"/>
      <c r="C1" s="8">
        <v>1</v>
      </c>
      <c r="E1">
        <v>3.6</v>
      </c>
    </row>
    <row r="2" spans="1:25" ht="30">
      <c r="A2" s="71" t="s">
        <v>12</v>
      </c>
      <c r="B2" s="71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72"/>
      <c r="B3" s="72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2023</v>
      </c>
      <c r="B4" s="11">
        <v>45261</v>
      </c>
      <c r="C4" s="37">
        <f>'[1]Planilha1'!$C$56</f>
        <v>33.388888888888886</v>
      </c>
      <c r="D4" s="6">
        <v>1349</v>
      </c>
      <c r="E4" s="37">
        <f>'[1]Planilha1'!$E$56</f>
        <v>21.38888888888889</v>
      </c>
      <c r="F4" s="6">
        <v>559</v>
      </c>
      <c r="G4" s="37">
        <f>'[1]Planilha1'!$G$56</f>
        <v>27.77777777777778</v>
      </c>
      <c r="H4" s="37">
        <f>'[1]Planilha1'!$H$56</f>
        <v>96.2</v>
      </c>
      <c r="I4" s="6">
        <v>554</v>
      </c>
      <c r="J4" s="37">
        <f>'[1]Planilha1'!$I$56</f>
        <v>46.1</v>
      </c>
      <c r="K4" s="6">
        <v>1423</v>
      </c>
      <c r="L4" s="37">
        <f>'[1]Planilha1'!$J$56</f>
        <v>71</v>
      </c>
      <c r="M4" s="36">
        <f>'[1]Planilha1'!$P$56</f>
        <v>0.254</v>
      </c>
      <c r="N4" s="34">
        <f>'[1]Planilha1'!$L$56</f>
        <v>1.588001764446405</v>
      </c>
      <c r="O4" s="34">
        <f>'[1]Planilha1'!$N$56</f>
        <v>20.595200000000002</v>
      </c>
      <c r="P4" s="6">
        <v>254</v>
      </c>
      <c r="Q4" s="36">
        <v>310.2</v>
      </c>
      <c r="R4" s="37">
        <v>6.93</v>
      </c>
      <c r="S4" s="36">
        <v>1064.6</v>
      </c>
      <c r="T4" s="6">
        <v>1239</v>
      </c>
      <c r="U4" s="37">
        <v>16.08</v>
      </c>
      <c r="V4" s="6">
        <v>1250</v>
      </c>
      <c r="W4" s="37">
        <v>-42.411</v>
      </c>
      <c r="X4" s="6">
        <v>432</v>
      </c>
      <c r="Y4" s="35">
        <v>3.669</v>
      </c>
    </row>
    <row r="5" spans="1:25" ht="12.75">
      <c r="A5" s="6">
        <v>2023</v>
      </c>
      <c r="B5" s="11">
        <v>45262</v>
      </c>
      <c r="C5" s="37">
        <f>'[1]Planilha1'!$C$57</f>
        <v>34.611111111111114</v>
      </c>
      <c r="D5" s="6">
        <v>1434</v>
      </c>
      <c r="E5" s="37">
        <f>'[1]Planilha1'!$E$57</f>
        <v>22.88888888888889</v>
      </c>
      <c r="F5" s="6">
        <v>214</v>
      </c>
      <c r="G5" s="37">
        <f>'[1]Planilha1'!$G$57</f>
        <v>29</v>
      </c>
      <c r="H5" s="37">
        <f>'[1]Planilha1'!$H$57</f>
        <v>93.8</v>
      </c>
      <c r="I5" s="6">
        <v>214</v>
      </c>
      <c r="J5" s="37">
        <f>'[1]Planilha1'!$I$57</f>
        <v>45.2</v>
      </c>
      <c r="K5" s="6">
        <v>1404</v>
      </c>
      <c r="L5" s="37">
        <f>'[1]Planilha1'!$J$57</f>
        <v>68.2</v>
      </c>
      <c r="M5" s="36">
        <f>'[1]Planilha1'!$P$57</f>
        <v>0</v>
      </c>
      <c r="N5" s="34">
        <f>'[1]Planilha1'!$L$57</f>
        <v>1.8085575650639611</v>
      </c>
      <c r="O5" s="34">
        <f>'[1]Planilha1'!$N$57</f>
        <v>28.4793</v>
      </c>
      <c r="P5" s="6">
        <v>1554</v>
      </c>
      <c r="Q5" s="36">
        <v>342.3</v>
      </c>
      <c r="R5" s="37">
        <v>7.27</v>
      </c>
      <c r="S5" s="36">
        <v>1038.5</v>
      </c>
      <c r="T5" s="6">
        <v>1159</v>
      </c>
      <c r="U5" s="37">
        <v>33.08</v>
      </c>
      <c r="V5" s="6">
        <v>1253</v>
      </c>
      <c r="W5" s="37">
        <v>-45.55</v>
      </c>
      <c r="X5" s="6">
        <v>657</v>
      </c>
      <c r="Y5" s="35">
        <v>3.818</v>
      </c>
    </row>
    <row r="6" spans="1:25" ht="12.75">
      <c r="A6" s="6">
        <v>2023</v>
      </c>
      <c r="B6" s="11">
        <v>45263</v>
      </c>
      <c r="C6" s="37">
        <f>'[1]Planilha1'!$C$58</f>
        <v>34.111111111111114</v>
      </c>
      <c r="D6" s="6">
        <v>1325</v>
      </c>
      <c r="E6" s="37">
        <f>'[1]Planilha1'!$E$58</f>
        <v>21.38888888888889</v>
      </c>
      <c r="F6" s="6">
        <v>524</v>
      </c>
      <c r="G6" s="37">
        <f>'[1]Planilha1'!$G$58</f>
        <v>21.77777777777778</v>
      </c>
      <c r="H6" s="37">
        <f>'[1]Planilha1'!$H$58</f>
        <v>96.1</v>
      </c>
      <c r="I6" s="6">
        <v>1654</v>
      </c>
      <c r="J6" s="37">
        <f>'[1]Planilha1'!$I$58</f>
        <v>47.3</v>
      </c>
      <c r="K6" s="6">
        <v>239</v>
      </c>
      <c r="L6" s="37">
        <f>'[1]Planilha1'!$J$58</f>
        <v>68</v>
      </c>
      <c r="M6" s="36">
        <f>'[1]Planilha1'!$P$58</f>
        <v>0</v>
      </c>
      <c r="N6" s="34">
        <f>'[1]Planilha1'!$L$58</f>
        <v>2.0291133656815172</v>
      </c>
      <c r="O6" s="34">
        <f>'[1]Planilha1'!$N$58</f>
        <v>26.2267</v>
      </c>
      <c r="P6" s="6">
        <v>239</v>
      </c>
      <c r="Q6" s="6">
        <v>312.5</v>
      </c>
      <c r="R6" s="6">
        <v>7.18</v>
      </c>
      <c r="S6" s="36">
        <v>977.3</v>
      </c>
      <c r="T6" s="6">
        <v>1324</v>
      </c>
      <c r="U6" s="37">
        <v>29.83</v>
      </c>
      <c r="V6" s="6">
        <v>1257</v>
      </c>
      <c r="W6" s="37">
        <v>-42.66</v>
      </c>
      <c r="X6" s="6">
        <v>234</v>
      </c>
      <c r="Y6" s="35">
        <v>2.419</v>
      </c>
    </row>
    <row r="7" spans="1:25" ht="12.75">
      <c r="A7" s="6">
        <v>2023</v>
      </c>
      <c r="B7" s="11">
        <v>45264</v>
      </c>
      <c r="C7" s="37">
        <f>'[1]Planilha1'!$C$59</f>
        <v>30.5</v>
      </c>
      <c r="D7" s="6">
        <v>1604</v>
      </c>
      <c r="E7" s="37">
        <f>'[1]Planilha1'!$E$59</f>
        <v>20.611111111111107</v>
      </c>
      <c r="F7" s="6">
        <v>649</v>
      </c>
      <c r="G7" s="37">
        <f>'[1]Planilha1'!$G$59</f>
        <v>25</v>
      </c>
      <c r="H7" s="37">
        <f>'[1]Planilha1'!$H$59</f>
        <v>99.5</v>
      </c>
      <c r="I7" s="6">
        <v>404</v>
      </c>
      <c r="J7" s="37">
        <f>'[1]Planilha1'!$I$59</f>
        <v>60.1</v>
      </c>
      <c r="K7" s="6">
        <v>1359</v>
      </c>
      <c r="L7" s="37">
        <f>'[1]Planilha1'!$J$59</f>
        <v>83.3</v>
      </c>
      <c r="M7" s="36">
        <v>18.7</v>
      </c>
      <c r="N7" s="34">
        <f>'[1]Planilha1'!$L$59</f>
        <v>2.602558447287164</v>
      </c>
      <c r="O7" s="34">
        <f>'[1]Planilha1'!$N$59</f>
        <v>30.570999999999998</v>
      </c>
      <c r="P7" s="6">
        <v>644</v>
      </c>
      <c r="Q7" s="36">
        <v>356.7</v>
      </c>
      <c r="R7" s="37">
        <v>5.83</v>
      </c>
      <c r="S7" s="36">
        <v>1225.9</v>
      </c>
      <c r="T7" s="6">
        <v>1039</v>
      </c>
      <c r="U7" s="37">
        <v>7.78</v>
      </c>
      <c r="V7" s="6">
        <v>1333</v>
      </c>
      <c r="W7" s="37">
        <v>-58.95</v>
      </c>
      <c r="X7" s="6">
        <v>1815</v>
      </c>
      <c r="Y7" s="35">
        <v>1.624</v>
      </c>
    </row>
    <row r="8" spans="1:25" ht="12.75">
      <c r="A8" s="6">
        <v>2023</v>
      </c>
      <c r="B8" s="11">
        <v>45265</v>
      </c>
      <c r="C8" s="37">
        <f>'[1]Planilha1'!$C$60</f>
        <v>32.111111111111114</v>
      </c>
      <c r="D8" s="6">
        <v>1509</v>
      </c>
      <c r="E8" s="37">
        <f>'[1]Planilha1'!$E$60</f>
        <v>19.88888888888889</v>
      </c>
      <c r="F8" s="6">
        <v>2359</v>
      </c>
      <c r="G8" s="37">
        <f>'[1]Planilha1'!$G$60</f>
        <v>25.166666666666668</v>
      </c>
      <c r="H8" s="37">
        <f>'[1]Planilha1'!$H$60</f>
        <v>99.3</v>
      </c>
      <c r="I8" s="6">
        <v>129</v>
      </c>
      <c r="J8" s="37">
        <f>'[1]Planilha1'!$I$60</f>
        <v>54.2</v>
      </c>
      <c r="K8" s="6">
        <v>1424</v>
      </c>
      <c r="L8" s="37">
        <f>'[1]Planilha1'!$J$60</f>
        <v>83</v>
      </c>
      <c r="M8" s="36">
        <v>4.8</v>
      </c>
      <c r="N8" s="34">
        <f>'[1]Planilha1'!$L$60</f>
        <v>2.1614468460520513</v>
      </c>
      <c r="O8" s="34">
        <f>'[1]Planilha1'!$N$60</f>
        <v>30.731900000000003</v>
      </c>
      <c r="P8" s="6">
        <v>1749</v>
      </c>
      <c r="Q8" s="36">
        <v>92.6</v>
      </c>
      <c r="R8" s="6">
        <v>6.52</v>
      </c>
      <c r="S8" s="36">
        <v>1107.9</v>
      </c>
      <c r="T8" s="6">
        <v>1254</v>
      </c>
      <c r="U8" s="37">
        <v>24.08</v>
      </c>
      <c r="V8" s="6">
        <v>1238</v>
      </c>
      <c r="W8" s="37">
        <v>-39.27</v>
      </c>
      <c r="X8" s="6">
        <v>350</v>
      </c>
      <c r="Y8" s="35">
        <v>2.856</v>
      </c>
    </row>
    <row r="9" spans="1:25" ht="12.75">
      <c r="A9" s="6">
        <v>2023</v>
      </c>
      <c r="B9" s="11">
        <v>45266</v>
      </c>
      <c r="C9" s="37">
        <f>'[1]Planilha1'!$C$61</f>
        <v>33.111111111111114</v>
      </c>
      <c r="D9" s="6">
        <v>1554</v>
      </c>
      <c r="E9" s="37">
        <f>'[1]Planilha1'!$E$61</f>
        <v>19.27777777777778</v>
      </c>
      <c r="F9" s="6">
        <v>134</v>
      </c>
      <c r="G9" s="37">
        <f>'[1]Planilha1'!$G$61</f>
        <v>26.22222222222222</v>
      </c>
      <c r="H9" s="37">
        <f>'[1]Planilha1'!$H$61</f>
        <v>99.2</v>
      </c>
      <c r="I9" s="6">
        <v>4</v>
      </c>
      <c r="J9" s="37">
        <f>'[1]Planilha1'!$I$61</f>
        <v>49</v>
      </c>
      <c r="K9" s="6">
        <v>1519</v>
      </c>
      <c r="L9" s="37">
        <f>'[1]Planilha1'!$J$61</f>
        <v>75</v>
      </c>
      <c r="M9" s="36">
        <v>0</v>
      </c>
      <c r="N9" s="34">
        <f>'[1]Planilha1'!$L$61</f>
        <v>1.8967798853109836</v>
      </c>
      <c r="O9" s="34">
        <f>'[1]Planilha1'!$N$61</f>
        <v>29.4447</v>
      </c>
      <c r="P9" s="6">
        <v>38</v>
      </c>
      <c r="Q9" s="36">
        <v>43.2</v>
      </c>
      <c r="R9" s="37">
        <v>7.11</v>
      </c>
      <c r="S9" s="36">
        <v>1005.5</v>
      </c>
      <c r="T9" s="6">
        <v>1024</v>
      </c>
      <c r="U9" s="37">
        <v>16.08</v>
      </c>
      <c r="V9" s="6">
        <v>1250</v>
      </c>
      <c r="W9" s="37">
        <v>-42.411</v>
      </c>
      <c r="X9" s="6">
        <v>432</v>
      </c>
      <c r="Y9" s="35">
        <v>3.669</v>
      </c>
    </row>
    <row r="10" spans="1:25" ht="12.75">
      <c r="A10" s="6">
        <v>2023</v>
      </c>
      <c r="B10" s="11">
        <v>45267</v>
      </c>
      <c r="C10" s="37">
        <f>'[1]Planilha1'!$C$62</f>
        <v>33.72222222222222</v>
      </c>
      <c r="D10" s="6">
        <v>1349</v>
      </c>
      <c r="E10" s="37">
        <f>'[1]Planilha1'!$E$62</f>
        <v>22.77777777777778</v>
      </c>
      <c r="F10" s="6">
        <v>509</v>
      </c>
      <c r="G10" s="37">
        <f>'[1]Planilha1'!$G$62</f>
        <v>28.000000000000004</v>
      </c>
      <c r="H10" s="37">
        <f>'[1]Planilha1'!$H$62</f>
        <v>90.7</v>
      </c>
      <c r="I10" s="6">
        <v>504</v>
      </c>
      <c r="J10" s="37">
        <f>'[1]Planilha1'!$I$62</f>
        <v>44.8</v>
      </c>
      <c r="K10" s="6">
        <v>1404</v>
      </c>
      <c r="L10" s="37">
        <f>'[1]Planilha1'!$J$62</f>
        <v>71</v>
      </c>
      <c r="M10" s="36">
        <v>0</v>
      </c>
      <c r="N10" s="34">
        <f>'[1]Planilha1'!$L$62</f>
        <v>2.2496691662990735</v>
      </c>
      <c r="O10" s="34">
        <f>'[1]Planilha1'!$N$62</f>
        <v>24.456799999999998</v>
      </c>
      <c r="P10" s="6">
        <v>1409</v>
      </c>
      <c r="Q10" s="36">
        <v>88.4</v>
      </c>
      <c r="R10" s="37">
        <v>7.09</v>
      </c>
      <c r="S10" s="36">
        <v>1096.3</v>
      </c>
      <c r="T10" s="6">
        <v>1103</v>
      </c>
      <c r="U10" s="37">
        <v>32.48</v>
      </c>
      <c r="V10" s="6">
        <v>1358</v>
      </c>
      <c r="W10" s="37">
        <v>-37.45</v>
      </c>
      <c r="X10" s="6">
        <v>513</v>
      </c>
      <c r="Y10" s="35">
        <v>2.757</v>
      </c>
    </row>
    <row r="11" spans="1:25" ht="12.75">
      <c r="A11" s="6">
        <v>2023</v>
      </c>
      <c r="B11" s="11">
        <v>45268</v>
      </c>
      <c r="C11" s="37">
        <f>'[1]Planilha1'!$C$63</f>
        <v>32.888888888888886</v>
      </c>
      <c r="D11" s="6">
        <v>1404</v>
      </c>
      <c r="E11" s="37">
        <f>'[1]Planilha1'!$E$63</f>
        <v>21.5</v>
      </c>
      <c r="F11" s="6">
        <v>404</v>
      </c>
      <c r="G11" s="37">
        <f>'[1]Planilha1'!$G$63</f>
        <v>26.999999999999996</v>
      </c>
      <c r="H11" s="37">
        <f>'[1]Planilha1'!$H$63</f>
        <v>94.2</v>
      </c>
      <c r="I11" s="6">
        <v>359</v>
      </c>
      <c r="J11" s="37">
        <f>'[1]Planilha1'!$I$63</f>
        <v>47.2</v>
      </c>
      <c r="K11" s="6">
        <v>1244</v>
      </c>
      <c r="L11" s="37">
        <f>'[1]Planilha1'!$J$63</f>
        <v>71.2</v>
      </c>
      <c r="M11" s="36">
        <v>0</v>
      </c>
      <c r="N11" s="34">
        <f>'[1]Planilha1'!$L$63</f>
        <v>2.2055580061755626</v>
      </c>
      <c r="O11" s="34">
        <f>'[1]Planilha1'!$N$63</f>
        <v>25.9049</v>
      </c>
      <c r="P11" s="6">
        <v>39</v>
      </c>
      <c r="Q11" s="36">
        <v>172.1</v>
      </c>
      <c r="R11" s="6">
        <v>6.87</v>
      </c>
      <c r="S11" s="36">
        <v>1149.1</v>
      </c>
      <c r="T11" s="6">
        <v>1054</v>
      </c>
      <c r="U11" s="37">
        <v>28.03</v>
      </c>
      <c r="V11" s="6">
        <v>1208</v>
      </c>
      <c r="W11" s="37">
        <v>-45.3</v>
      </c>
      <c r="X11" s="6">
        <v>2316</v>
      </c>
      <c r="Y11" s="35">
        <v>2.405</v>
      </c>
    </row>
    <row r="12" spans="1:25" ht="12.75">
      <c r="A12" s="6">
        <v>2023</v>
      </c>
      <c r="B12" s="11">
        <v>45269</v>
      </c>
      <c r="C12" s="37">
        <f>'[1]Planilha1'!$C$64</f>
        <v>33.27777777777778</v>
      </c>
      <c r="D12" s="6">
        <v>1624</v>
      </c>
      <c r="E12" s="37">
        <f>'[1]Planilha1'!$E$64</f>
        <v>21.722222222222218</v>
      </c>
      <c r="F12" s="6">
        <v>514</v>
      </c>
      <c r="G12" s="37">
        <f>'[1]Planilha1'!$G$64</f>
        <v>27.16666666666667</v>
      </c>
      <c r="H12" s="37">
        <f>'[1]Planilha1'!$H$64</f>
        <v>90.3</v>
      </c>
      <c r="I12" s="6">
        <v>409</v>
      </c>
      <c r="J12" s="37">
        <f>'[1]Planilha1'!$I$64</f>
        <v>44.9</v>
      </c>
      <c r="K12" s="6">
        <v>1624</v>
      </c>
      <c r="L12" s="37">
        <f>'[1]Planilha1'!$J$64</f>
        <v>70.8</v>
      </c>
      <c r="M12" s="36">
        <v>0</v>
      </c>
      <c r="N12" s="34">
        <f>'[1]Planilha1'!$L$64</f>
        <v>3.6171151301279223</v>
      </c>
      <c r="O12" s="34">
        <f>'[1]Planilha1'!$N$64</f>
        <v>27.031200000000002</v>
      </c>
      <c r="P12" s="6">
        <v>1724</v>
      </c>
      <c r="Q12" s="36">
        <v>183.5</v>
      </c>
      <c r="R12" s="37">
        <v>6.91</v>
      </c>
      <c r="S12" s="36">
        <v>1048.1</v>
      </c>
      <c r="T12" s="6">
        <v>1249</v>
      </c>
      <c r="U12" s="37">
        <v>29.44</v>
      </c>
      <c r="V12" s="6">
        <v>1714</v>
      </c>
      <c r="W12" s="37">
        <v>-42.27</v>
      </c>
      <c r="X12" s="6">
        <v>2328</v>
      </c>
      <c r="Y12" s="35">
        <v>2.683</v>
      </c>
    </row>
    <row r="13" spans="1:25" ht="12.75">
      <c r="A13" s="6">
        <v>2023</v>
      </c>
      <c r="B13" s="11">
        <v>45270</v>
      </c>
      <c r="C13" s="37">
        <v>36.9</v>
      </c>
      <c r="D13" s="6">
        <v>1529</v>
      </c>
      <c r="E13" s="37">
        <v>20.9</v>
      </c>
      <c r="F13" s="6">
        <v>517</v>
      </c>
      <c r="G13" s="37">
        <v>28.21</v>
      </c>
      <c r="H13" s="37">
        <v>91.4</v>
      </c>
      <c r="I13" s="6">
        <v>734</v>
      </c>
      <c r="J13" s="37">
        <v>41.15</v>
      </c>
      <c r="K13" s="6">
        <v>1419</v>
      </c>
      <c r="L13" s="37">
        <v>64.32</v>
      </c>
      <c r="M13" s="36">
        <v>17.4</v>
      </c>
      <c r="N13" s="34">
        <f>'[1]Planilha1'!$L$65</f>
        <v>3.3083370092633437</v>
      </c>
      <c r="O13" s="34">
        <f>'[1]Planilha1'!$N$65</f>
        <v>27.674799999999998</v>
      </c>
      <c r="P13" s="6">
        <v>953</v>
      </c>
      <c r="Q13" s="36">
        <v>150.2</v>
      </c>
      <c r="R13" s="37">
        <v>7.27</v>
      </c>
      <c r="S13" s="36">
        <v>978.2</v>
      </c>
      <c r="T13" s="6">
        <v>949</v>
      </c>
      <c r="U13" s="37">
        <v>29.55</v>
      </c>
      <c r="V13" s="6">
        <v>1319</v>
      </c>
      <c r="W13" s="37">
        <v>-43.57</v>
      </c>
      <c r="X13" s="6">
        <v>159</v>
      </c>
      <c r="Y13" s="35">
        <v>3.379</v>
      </c>
    </row>
    <row r="14" spans="1:26" ht="12.75">
      <c r="A14" s="6">
        <v>2023</v>
      </c>
      <c r="B14" s="11">
        <v>45271</v>
      </c>
      <c r="C14" s="37">
        <v>34.1</v>
      </c>
      <c r="D14" s="6">
        <v>1453</v>
      </c>
      <c r="E14" s="37">
        <v>24</v>
      </c>
      <c r="F14" s="6">
        <v>2359</v>
      </c>
      <c r="G14" s="37">
        <v>29.6</v>
      </c>
      <c r="H14" s="37">
        <v>73.2</v>
      </c>
      <c r="I14" s="6">
        <v>2359</v>
      </c>
      <c r="J14" s="37">
        <v>35.4</v>
      </c>
      <c r="K14" s="6">
        <v>1453</v>
      </c>
      <c r="L14" s="37">
        <v>51.3</v>
      </c>
      <c r="M14" s="6">
        <v>0.3</v>
      </c>
      <c r="N14" s="34">
        <f>6.2/3.6</f>
        <v>1.7222222222222223</v>
      </c>
      <c r="O14" s="34">
        <v>21.9</v>
      </c>
      <c r="P14" s="6">
        <v>1245</v>
      </c>
      <c r="Q14" s="36">
        <v>49.4</v>
      </c>
      <c r="R14" s="37">
        <v>7.46</v>
      </c>
      <c r="S14" s="36">
        <v>1238.5</v>
      </c>
      <c r="T14" s="6">
        <v>939</v>
      </c>
      <c r="U14" s="37">
        <v>33.08</v>
      </c>
      <c r="V14" s="6">
        <v>1253</v>
      </c>
      <c r="W14" s="37">
        <v>-45.55</v>
      </c>
      <c r="X14" s="6">
        <v>657</v>
      </c>
      <c r="Y14" s="35">
        <v>3.818</v>
      </c>
      <c r="Z14" s="13"/>
    </row>
    <row r="15" spans="1:25" ht="12.75">
      <c r="A15" s="6">
        <v>2023</v>
      </c>
      <c r="B15" s="11">
        <v>45272</v>
      </c>
      <c r="C15" s="37">
        <v>34.81</v>
      </c>
      <c r="D15" s="6">
        <v>1544</v>
      </c>
      <c r="E15" s="6">
        <v>21.53</v>
      </c>
      <c r="F15" s="6">
        <v>509</v>
      </c>
      <c r="G15" s="37">
        <v>27.43</v>
      </c>
      <c r="H15" s="37">
        <v>83.15</v>
      </c>
      <c r="I15" s="6">
        <v>459</v>
      </c>
      <c r="J15" s="37">
        <v>31.07</v>
      </c>
      <c r="K15" s="6">
        <v>1544</v>
      </c>
      <c r="L15" s="37">
        <v>59.08</v>
      </c>
      <c r="M15" s="36">
        <v>0</v>
      </c>
      <c r="N15" s="34">
        <f>7.4/3.6</f>
        <v>2.055555555555556</v>
      </c>
      <c r="O15" s="34">
        <v>18.3</v>
      </c>
      <c r="P15" s="6">
        <v>1724</v>
      </c>
      <c r="Q15" s="36">
        <v>118.5</v>
      </c>
      <c r="R15" s="37">
        <v>7.17</v>
      </c>
      <c r="S15" s="36">
        <v>1138.7</v>
      </c>
      <c r="T15" s="6">
        <v>1119</v>
      </c>
      <c r="U15" s="37">
        <v>30.21</v>
      </c>
      <c r="V15" s="6">
        <v>1250</v>
      </c>
      <c r="W15" s="37">
        <v>-45.45</v>
      </c>
      <c r="X15" s="6">
        <v>37</v>
      </c>
      <c r="Y15" s="35">
        <v>2.156</v>
      </c>
    </row>
    <row r="16" spans="1:25" ht="12.75">
      <c r="A16" s="6">
        <v>2023</v>
      </c>
      <c r="B16" s="11">
        <v>45273</v>
      </c>
      <c r="C16" s="37">
        <v>36.8</v>
      </c>
      <c r="D16" s="6">
        <v>1553</v>
      </c>
      <c r="E16" s="37">
        <v>20.1</v>
      </c>
      <c r="F16" s="6">
        <v>552</v>
      </c>
      <c r="G16" s="37">
        <v>28.5</v>
      </c>
      <c r="H16" s="37">
        <v>78.2</v>
      </c>
      <c r="I16" s="6">
        <v>501</v>
      </c>
      <c r="J16" s="37">
        <v>29.43</v>
      </c>
      <c r="K16" s="6">
        <v>1545</v>
      </c>
      <c r="L16" s="37">
        <v>47.34</v>
      </c>
      <c r="M16" s="36">
        <v>0</v>
      </c>
      <c r="N16" s="34">
        <v>1.82</v>
      </c>
      <c r="O16" s="34">
        <v>19.41</v>
      </c>
      <c r="P16" s="6">
        <v>1049</v>
      </c>
      <c r="Q16" s="36">
        <v>126.7</v>
      </c>
      <c r="R16" s="6">
        <v>7.22</v>
      </c>
      <c r="S16" s="36">
        <v>1105.3</v>
      </c>
      <c r="T16" s="6">
        <v>1202</v>
      </c>
      <c r="U16" s="37">
        <v>32.38</v>
      </c>
      <c r="V16" s="6">
        <v>1315</v>
      </c>
      <c r="W16" s="37">
        <v>-35.5</v>
      </c>
      <c r="X16" s="38">
        <v>11</v>
      </c>
      <c r="Y16" s="35">
        <v>2.829</v>
      </c>
    </row>
    <row r="17" spans="1:25" ht="12.75">
      <c r="A17" s="6">
        <v>2023</v>
      </c>
      <c r="B17" s="11">
        <v>45274</v>
      </c>
      <c r="C17" s="37">
        <v>35.4</v>
      </c>
      <c r="D17" s="6">
        <v>1623</v>
      </c>
      <c r="E17" s="37">
        <v>22.5</v>
      </c>
      <c r="F17" s="6">
        <v>544</v>
      </c>
      <c r="G17" s="37">
        <v>28.9</v>
      </c>
      <c r="H17" s="37">
        <v>73.15</v>
      </c>
      <c r="I17" s="6">
        <v>134</v>
      </c>
      <c r="J17" s="37">
        <v>37.08</v>
      </c>
      <c r="K17" s="6">
        <v>1414</v>
      </c>
      <c r="L17" s="37">
        <v>56.71</v>
      </c>
      <c r="M17" s="36">
        <v>0</v>
      </c>
      <c r="N17" s="34">
        <f>9.2/3.6</f>
        <v>2.5555555555555554</v>
      </c>
      <c r="O17" s="34">
        <v>27.7</v>
      </c>
      <c r="P17" s="6">
        <v>1109</v>
      </c>
      <c r="Q17" s="36">
        <v>141.6</v>
      </c>
      <c r="R17" s="6">
        <v>7.18</v>
      </c>
      <c r="S17" s="36">
        <v>1025.9</v>
      </c>
      <c r="T17" s="6">
        <v>1234</v>
      </c>
      <c r="U17" s="37">
        <v>8.24</v>
      </c>
      <c r="V17" s="6">
        <v>1131</v>
      </c>
      <c r="W17" s="37">
        <v>-41.49</v>
      </c>
      <c r="X17" s="6">
        <v>233</v>
      </c>
      <c r="Y17" s="35">
        <v>3.568</v>
      </c>
    </row>
    <row r="18" spans="1:25" ht="12.75">
      <c r="A18" s="6">
        <v>2023</v>
      </c>
      <c r="B18" s="11">
        <v>45275</v>
      </c>
      <c r="C18" s="37">
        <v>36.1</v>
      </c>
      <c r="D18" s="6">
        <v>1529</v>
      </c>
      <c r="E18" s="37">
        <v>24.16</v>
      </c>
      <c r="F18" s="6">
        <v>509</v>
      </c>
      <c r="G18" s="37">
        <v>29.71</v>
      </c>
      <c r="H18" s="37">
        <v>81.05</v>
      </c>
      <c r="I18" s="6">
        <v>609</v>
      </c>
      <c r="J18" s="37">
        <v>37.11</v>
      </c>
      <c r="K18" s="6">
        <v>1529</v>
      </c>
      <c r="L18" s="37">
        <v>59.08</v>
      </c>
      <c r="M18" s="36">
        <v>0</v>
      </c>
      <c r="N18" s="34">
        <f>6.7/3.6</f>
        <v>1.8611111111111112</v>
      </c>
      <c r="O18" s="34">
        <v>23.8</v>
      </c>
      <c r="P18" s="6">
        <v>1249</v>
      </c>
      <c r="Q18" s="36">
        <v>109.1</v>
      </c>
      <c r="R18" s="37">
        <v>7.24</v>
      </c>
      <c r="S18" s="36">
        <v>1156.9</v>
      </c>
      <c r="T18" s="6">
        <v>1154</v>
      </c>
      <c r="U18" s="37">
        <v>23.38</v>
      </c>
      <c r="V18" s="6">
        <v>1340</v>
      </c>
      <c r="W18" s="37">
        <v>-44.81</v>
      </c>
      <c r="X18" s="6">
        <v>551</v>
      </c>
      <c r="Y18" s="39">
        <v>3.531</v>
      </c>
    </row>
    <row r="19" spans="1:25" ht="12.75">
      <c r="A19" s="6">
        <v>2023</v>
      </c>
      <c r="B19" s="11">
        <v>45276</v>
      </c>
      <c r="C19" s="37">
        <v>36.24</v>
      </c>
      <c r="D19" s="6">
        <v>1549</v>
      </c>
      <c r="E19" s="37">
        <v>22.54</v>
      </c>
      <c r="F19" s="6">
        <v>534</v>
      </c>
      <c r="G19" s="37">
        <v>29.74</v>
      </c>
      <c r="H19" s="37">
        <v>81.86</v>
      </c>
      <c r="I19" s="6">
        <v>534</v>
      </c>
      <c r="J19" s="37">
        <v>21.07</v>
      </c>
      <c r="K19" s="6">
        <v>1349</v>
      </c>
      <c r="L19" s="37">
        <v>54.94</v>
      </c>
      <c r="M19" s="36">
        <v>0</v>
      </c>
      <c r="N19" s="34">
        <f>6.8/3.6</f>
        <v>1.8888888888888888</v>
      </c>
      <c r="O19" s="34">
        <v>26.7</v>
      </c>
      <c r="P19" s="6">
        <v>1214</v>
      </c>
      <c r="Q19" s="43">
        <v>139.4</v>
      </c>
      <c r="R19" s="37">
        <v>7.33</v>
      </c>
      <c r="S19" s="36">
        <v>935.6</v>
      </c>
      <c r="T19" s="6">
        <v>1234</v>
      </c>
      <c r="U19" s="37">
        <v>12.49</v>
      </c>
      <c r="V19" s="6">
        <v>1304</v>
      </c>
      <c r="W19" s="37">
        <v>-45.9</v>
      </c>
      <c r="X19" s="6">
        <v>239</v>
      </c>
      <c r="Y19" s="35">
        <v>4.382</v>
      </c>
    </row>
    <row r="20" spans="1:25" ht="12.75">
      <c r="A20" s="6">
        <v>2023</v>
      </c>
      <c r="B20" s="11">
        <v>45277</v>
      </c>
      <c r="C20" s="37">
        <v>36.35</v>
      </c>
      <c r="D20" s="6">
        <v>1504</v>
      </c>
      <c r="E20" s="37">
        <v>23.27</v>
      </c>
      <c r="F20" s="6">
        <v>524</v>
      </c>
      <c r="G20" s="37">
        <v>28.9</v>
      </c>
      <c r="H20" s="37">
        <v>69.22</v>
      </c>
      <c r="I20" s="6">
        <v>2344</v>
      </c>
      <c r="J20" s="37">
        <v>31</v>
      </c>
      <c r="K20" s="6">
        <v>1424</v>
      </c>
      <c r="L20" s="37">
        <v>52.21</v>
      </c>
      <c r="M20" s="36">
        <v>0</v>
      </c>
      <c r="N20" s="34">
        <f>8.1/3.6</f>
        <v>2.25</v>
      </c>
      <c r="O20" s="34">
        <v>26.2</v>
      </c>
      <c r="P20" s="6">
        <v>2013</v>
      </c>
      <c r="Q20" s="36">
        <v>60.3</v>
      </c>
      <c r="R20" s="37">
        <v>7.36</v>
      </c>
      <c r="S20" s="36">
        <v>1040.7</v>
      </c>
      <c r="T20" s="6">
        <v>1059</v>
      </c>
      <c r="U20" s="37">
        <v>5.024</v>
      </c>
      <c r="V20" s="6">
        <v>1246</v>
      </c>
      <c r="W20" s="37">
        <v>-41.4</v>
      </c>
      <c r="X20" s="6">
        <v>125</v>
      </c>
      <c r="Y20" s="35">
        <v>3.693</v>
      </c>
    </row>
    <row r="21" spans="1:25" ht="12.75">
      <c r="A21" s="6">
        <v>2023</v>
      </c>
      <c r="B21" s="11">
        <v>45278</v>
      </c>
      <c r="C21" s="37">
        <v>35.82</v>
      </c>
      <c r="D21" s="6">
        <v>1429</v>
      </c>
      <c r="E21" s="37">
        <v>23.8</v>
      </c>
      <c r="F21" s="6">
        <v>2344</v>
      </c>
      <c r="G21" s="37">
        <v>28.33</v>
      </c>
      <c r="H21" s="37">
        <v>78.92</v>
      </c>
      <c r="I21" s="6">
        <v>2344</v>
      </c>
      <c r="J21" s="37">
        <v>33.87</v>
      </c>
      <c r="K21" s="6">
        <v>1424</v>
      </c>
      <c r="L21" s="37">
        <v>58.15</v>
      </c>
      <c r="M21" s="36">
        <v>0</v>
      </c>
      <c r="N21" s="34">
        <f>10.4/3.6</f>
        <v>2.888888888888889</v>
      </c>
      <c r="O21" s="34">
        <v>53.6</v>
      </c>
      <c r="P21" s="6">
        <v>1849</v>
      </c>
      <c r="Q21" s="36">
        <v>132.9</v>
      </c>
      <c r="R21" s="37">
        <v>7.06</v>
      </c>
      <c r="S21" s="36">
        <v>919.2</v>
      </c>
      <c r="T21" s="6">
        <v>1239</v>
      </c>
      <c r="U21" s="37">
        <v>29.49</v>
      </c>
      <c r="V21" s="6">
        <v>1309</v>
      </c>
      <c r="W21" s="37">
        <v>-42.07</v>
      </c>
      <c r="X21" s="6">
        <v>554</v>
      </c>
      <c r="Y21" s="35">
        <v>3.29</v>
      </c>
    </row>
    <row r="22" spans="1:27" ht="12.75">
      <c r="A22" s="6">
        <v>2023</v>
      </c>
      <c r="B22" s="11">
        <v>45279</v>
      </c>
      <c r="C22" s="37">
        <v>34.7</v>
      </c>
      <c r="D22" s="6">
        <v>1636</v>
      </c>
      <c r="E22" s="37">
        <v>21.9</v>
      </c>
      <c r="F22" s="6">
        <v>630</v>
      </c>
      <c r="G22" s="37">
        <v>27.7</v>
      </c>
      <c r="H22" s="37">
        <v>90.03</v>
      </c>
      <c r="I22" s="6">
        <v>818</v>
      </c>
      <c r="J22" s="37">
        <v>37.11</v>
      </c>
      <c r="K22" s="6">
        <v>1630</v>
      </c>
      <c r="L22" s="37">
        <v>67.28</v>
      </c>
      <c r="M22" s="36">
        <v>0</v>
      </c>
      <c r="N22" s="34">
        <f>7.3/3.6</f>
        <v>2.0277777777777777</v>
      </c>
      <c r="O22" s="34">
        <v>32.8</v>
      </c>
      <c r="P22" s="6">
        <v>340</v>
      </c>
      <c r="Q22" s="36">
        <v>331.5</v>
      </c>
      <c r="R22" s="37">
        <v>7.12</v>
      </c>
      <c r="S22" s="36">
        <v>857</v>
      </c>
      <c r="T22" s="6">
        <v>1229</v>
      </c>
      <c r="U22" s="37">
        <v>16.16</v>
      </c>
      <c r="V22" s="6">
        <v>1156</v>
      </c>
      <c r="W22" s="37">
        <v>-41.54</v>
      </c>
      <c r="X22" s="6">
        <v>617</v>
      </c>
      <c r="Y22" s="35">
        <v>2.91</v>
      </c>
      <c r="AA22" s="27"/>
    </row>
    <row r="23" spans="1:25" ht="12.75">
      <c r="A23" s="6">
        <v>2023</v>
      </c>
      <c r="B23" s="11">
        <v>45280</v>
      </c>
      <c r="C23" s="37">
        <v>33.6</v>
      </c>
      <c r="D23" s="6">
        <v>1500</v>
      </c>
      <c r="E23" s="37">
        <v>21.7</v>
      </c>
      <c r="F23" s="6">
        <v>553</v>
      </c>
      <c r="G23" s="37">
        <v>26.1</v>
      </c>
      <c r="H23" s="37">
        <v>89.15</v>
      </c>
      <c r="I23" s="6">
        <v>621</v>
      </c>
      <c r="J23" s="37">
        <v>46.92</v>
      </c>
      <c r="K23" s="6">
        <v>1458</v>
      </c>
      <c r="L23" s="37">
        <v>72.79</v>
      </c>
      <c r="M23" s="6">
        <v>0.5</v>
      </c>
      <c r="N23" s="34">
        <f>11.4/3.6</f>
        <v>3.1666666666666665</v>
      </c>
      <c r="O23" s="34">
        <v>36</v>
      </c>
      <c r="P23" s="6">
        <v>705</v>
      </c>
      <c r="Q23" s="36">
        <v>134.7</v>
      </c>
      <c r="R23" s="37">
        <v>6.88</v>
      </c>
      <c r="S23" s="36">
        <v>645.9</v>
      </c>
      <c r="T23" s="6">
        <v>1215</v>
      </c>
      <c r="U23" s="37">
        <v>33.08</v>
      </c>
      <c r="V23" s="6">
        <v>1253</v>
      </c>
      <c r="W23" s="37">
        <v>-45.55</v>
      </c>
      <c r="X23" s="6">
        <v>657</v>
      </c>
      <c r="Y23" s="35">
        <v>3.818</v>
      </c>
    </row>
    <row r="24" spans="1:25" ht="12.75">
      <c r="A24" s="6">
        <v>2023</v>
      </c>
      <c r="B24" s="11">
        <v>45281</v>
      </c>
      <c r="C24" s="37">
        <v>32.5</v>
      </c>
      <c r="D24" s="6">
        <v>1518</v>
      </c>
      <c r="E24" s="37">
        <v>22.3</v>
      </c>
      <c r="F24" s="6">
        <v>743</v>
      </c>
      <c r="G24" s="37">
        <v>26.4</v>
      </c>
      <c r="H24" s="37">
        <v>93.24</v>
      </c>
      <c r="I24" s="6">
        <v>1825</v>
      </c>
      <c r="J24" s="37">
        <v>76.24</v>
      </c>
      <c r="K24" s="6">
        <v>1518</v>
      </c>
      <c r="L24" s="37">
        <v>76.15</v>
      </c>
      <c r="M24" s="36">
        <v>0</v>
      </c>
      <c r="N24" s="34">
        <f>8.2/3.6</f>
        <v>2.2777777777777777</v>
      </c>
      <c r="O24" s="34">
        <v>26.7</v>
      </c>
      <c r="P24" s="6">
        <v>1739</v>
      </c>
      <c r="Q24" s="36">
        <v>54.2</v>
      </c>
      <c r="R24" s="37">
        <v>6.74</v>
      </c>
      <c r="S24" s="36">
        <v>813</v>
      </c>
      <c r="T24" s="6">
        <v>1224</v>
      </c>
      <c r="U24" s="37">
        <v>7.78</v>
      </c>
      <c r="V24" s="6">
        <v>1333</v>
      </c>
      <c r="W24" s="37">
        <v>-58.95</v>
      </c>
      <c r="X24" s="6">
        <v>1815</v>
      </c>
      <c r="Y24" s="35">
        <v>1.624</v>
      </c>
    </row>
    <row r="25" spans="1:25" ht="12.75">
      <c r="A25" s="6">
        <v>2023</v>
      </c>
      <c r="B25" s="11">
        <v>45282</v>
      </c>
      <c r="C25" s="37">
        <v>31.22</v>
      </c>
      <c r="D25" s="6">
        <v>1240</v>
      </c>
      <c r="E25" s="37">
        <v>22.6</v>
      </c>
      <c r="F25" s="6">
        <v>1</v>
      </c>
      <c r="G25" s="37">
        <v>25.8</v>
      </c>
      <c r="H25" s="37">
        <v>96.34</v>
      </c>
      <c r="I25" s="6">
        <v>13</v>
      </c>
      <c r="J25" s="37">
        <v>56.06</v>
      </c>
      <c r="K25" s="6">
        <v>1330</v>
      </c>
      <c r="L25" s="37">
        <v>82.07</v>
      </c>
      <c r="M25" s="36">
        <v>0</v>
      </c>
      <c r="N25" s="34">
        <f>9.1/3.6</f>
        <v>2.5277777777777777</v>
      </c>
      <c r="O25" s="34">
        <v>32.16</v>
      </c>
      <c r="P25" s="6">
        <v>1225</v>
      </c>
      <c r="Q25" s="36">
        <v>59.4</v>
      </c>
      <c r="R25" s="37">
        <v>5.96</v>
      </c>
      <c r="S25" s="36">
        <v>931</v>
      </c>
      <c r="T25" s="6">
        <v>1035</v>
      </c>
      <c r="U25" s="37">
        <v>2.624</v>
      </c>
      <c r="V25" s="6">
        <v>1224</v>
      </c>
      <c r="W25" s="37">
        <v>-46.7</v>
      </c>
      <c r="X25" s="6">
        <v>4</v>
      </c>
      <c r="Y25" s="39">
        <v>1.605</v>
      </c>
    </row>
    <row r="26" spans="1:26" ht="12.75">
      <c r="A26" s="6">
        <v>2023</v>
      </c>
      <c r="B26" s="11">
        <v>45283</v>
      </c>
      <c r="C26" s="37">
        <v>25.8</v>
      </c>
      <c r="D26" s="6">
        <v>1606</v>
      </c>
      <c r="E26" s="37">
        <v>20.2</v>
      </c>
      <c r="F26" s="6">
        <v>333</v>
      </c>
      <c r="G26" s="6">
        <v>22.16</v>
      </c>
      <c r="H26" s="37">
        <v>99.29</v>
      </c>
      <c r="I26" s="6">
        <v>356</v>
      </c>
      <c r="J26" s="37">
        <v>87.27</v>
      </c>
      <c r="K26" s="6">
        <v>1554</v>
      </c>
      <c r="L26" s="37">
        <v>97.85</v>
      </c>
      <c r="M26" s="36">
        <v>30.5</v>
      </c>
      <c r="N26" s="34">
        <f>8.8/3.6</f>
        <v>2.4444444444444446</v>
      </c>
      <c r="O26" s="34">
        <v>43.9</v>
      </c>
      <c r="P26" s="6">
        <v>1704</v>
      </c>
      <c r="Q26" s="36">
        <v>51.2</v>
      </c>
      <c r="R26" s="37">
        <v>4.54</v>
      </c>
      <c r="S26" s="36">
        <v>876</v>
      </c>
      <c r="T26" s="6">
        <v>1225</v>
      </c>
      <c r="U26" s="37">
        <v>31.29</v>
      </c>
      <c r="V26" s="6">
        <v>1153</v>
      </c>
      <c r="W26" s="37">
        <v>-48.23</v>
      </c>
      <c r="X26" s="6">
        <v>600</v>
      </c>
      <c r="Y26" s="39">
        <v>2.314</v>
      </c>
      <c r="Z26" s="13"/>
    </row>
    <row r="27" spans="1:25" ht="12.75">
      <c r="A27" s="6">
        <v>2023</v>
      </c>
      <c r="B27" s="11">
        <v>45284</v>
      </c>
      <c r="C27" s="6">
        <v>30.31</v>
      </c>
      <c r="D27" s="6">
        <v>1424</v>
      </c>
      <c r="E27" s="37">
        <v>20</v>
      </c>
      <c r="F27" s="6">
        <v>529</v>
      </c>
      <c r="G27" s="37">
        <v>24.7</v>
      </c>
      <c r="H27" s="37">
        <v>99.01</v>
      </c>
      <c r="I27" s="6">
        <v>555</v>
      </c>
      <c r="J27" s="37">
        <v>57.14</v>
      </c>
      <c r="K27" s="6">
        <v>1601</v>
      </c>
      <c r="L27" s="37">
        <v>81.14</v>
      </c>
      <c r="M27" s="36">
        <v>1.8</v>
      </c>
      <c r="N27" s="34">
        <f>5.5/3.6</f>
        <v>1.5277777777777777</v>
      </c>
      <c r="O27" s="34">
        <v>20.9</v>
      </c>
      <c r="P27" s="6">
        <v>1109</v>
      </c>
      <c r="Q27" s="36">
        <v>18.6</v>
      </c>
      <c r="R27" s="37">
        <v>5.19</v>
      </c>
      <c r="S27" s="36">
        <v>948</v>
      </c>
      <c r="T27" s="6">
        <v>1229</v>
      </c>
      <c r="U27" s="37">
        <v>23.65</v>
      </c>
      <c r="V27" s="6">
        <v>1202</v>
      </c>
      <c r="W27" s="6">
        <v>-46.35</v>
      </c>
      <c r="X27" s="6">
        <v>22</v>
      </c>
      <c r="Y27" s="39">
        <v>2.96</v>
      </c>
    </row>
    <row r="28" spans="1:26" ht="12.75">
      <c r="A28" s="6">
        <v>2023</v>
      </c>
      <c r="B28" s="11">
        <v>45285</v>
      </c>
      <c r="C28" s="6">
        <v>33.57</v>
      </c>
      <c r="D28" s="6">
        <v>1502</v>
      </c>
      <c r="E28" s="37">
        <v>21</v>
      </c>
      <c r="F28" s="6">
        <v>523</v>
      </c>
      <c r="G28" s="37">
        <v>27.42</v>
      </c>
      <c r="H28" s="37">
        <v>96.26</v>
      </c>
      <c r="I28" s="6">
        <v>255</v>
      </c>
      <c r="J28" s="37">
        <v>43.04</v>
      </c>
      <c r="K28" s="6">
        <v>1203</v>
      </c>
      <c r="L28" s="37">
        <v>69.87</v>
      </c>
      <c r="M28" s="36">
        <v>0.5</v>
      </c>
      <c r="N28" s="34">
        <f>7.8/3.6</f>
        <v>2.1666666666666665</v>
      </c>
      <c r="O28" s="34">
        <v>23.11</v>
      </c>
      <c r="P28" s="6">
        <v>1328</v>
      </c>
      <c r="Q28" s="36">
        <v>42.5</v>
      </c>
      <c r="R28" s="37">
        <v>6.27</v>
      </c>
      <c r="S28" s="36">
        <v>767</v>
      </c>
      <c r="T28" s="6">
        <v>1108</v>
      </c>
      <c r="U28" s="37">
        <v>27.03</v>
      </c>
      <c r="V28" s="6">
        <v>1244</v>
      </c>
      <c r="W28" s="37">
        <v>-45.65</v>
      </c>
      <c r="X28" s="6">
        <v>2359</v>
      </c>
      <c r="Y28" s="35">
        <v>3.454</v>
      </c>
      <c r="Z28" s="27"/>
    </row>
    <row r="29" spans="1:26" ht="12.75">
      <c r="A29" s="6">
        <v>2023</v>
      </c>
      <c r="B29" s="11">
        <v>45286</v>
      </c>
      <c r="C29" s="37">
        <v>33.42</v>
      </c>
      <c r="D29" s="6">
        <v>1554</v>
      </c>
      <c r="E29" s="37">
        <v>22.43</v>
      </c>
      <c r="F29" s="6">
        <v>606</v>
      </c>
      <c r="G29" s="37">
        <v>26.29</v>
      </c>
      <c r="H29" s="37">
        <v>95.31</v>
      </c>
      <c r="I29" s="6">
        <v>604</v>
      </c>
      <c r="J29" s="37">
        <v>54.18</v>
      </c>
      <c r="K29" s="6">
        <v>1609</v>
      </c>
      <c r="L29" s="37">
        <v>81.26</v>
      </c>
      <c r="M29" s="36">
        <v>7.6</v>
      </c>
      <c r="N29" s="34">
        <f>8.1/3.6</f>
        <v>2.25</v>
      </c>
      <c r="O29" s="34">
        <v>55.8</v>
      </c>
      <c r="P29" s="6">
        <v>2209</v>
      </c>
      <c r="Q29" s="43">
        <v>52.1</v>
      </c>
      <c r="R29" s="37">
        <v>6.84</v>
      </c>
      <c r="S29" s="36">
        <v>841</v>
      </c>
      <c r="T29" s="6">
        <v>1209</v>
      </c>
      <c r="U29" s="37">
        <v>23.27</v>
      </c>
      <c r="V29" s="6">
        <v>1220</v>
      </c>
      <c r="W29" s="6">
        <v>-46.09</v>
      </c>
      <c r="X29" s="6">
        <v>10</v>
      </c>
      <c r="Y29" s="35">
        <v>3.581</v>
      </c>
      <c r="Z29" s="27"/>
    </row>
    <row r="30" spans="1:25" ht="12.75">
      <c r="A30" s="6">
        <v>2023</v>
      </c>
      <c r="B30" s="11">
        <v>45287</v>
      </c>
      <c r="C30" s="6">
        <v>32.73</v>
      </c>
      <c r="D30" s="6">
        <v>1430</v>
      </c>
      <c r="E30" s="37">
        <v>21.62</v>
      </c>
      <c r="F30" s="6">
        <v>609</v>
      </c>
      <c r="G30" s="6">
        <v>26.44</v>
      </c>
      <c r="H30" s="37">
        <v>98.15</v>
      </c>
      <c r="I30" s="6">
        <v>2334</v>
      </c>
      <c r="J30" s="37">
        <v>44.07</v>
      </c>
      <c r="K30" s="6">
        <v>1430</v>
      </c>
      <c r="L30" s="37">
        <v>74.18</v>
      </c>
      <c r="M30" s="36">
        <v>0</v>
      </c>
      <c r="N30" s="34">
        <f>7.8/3.6</f>
        <v>2.1666666666666665</v>
      </c>
      <c r="O30" s="34">
        <v>28</v>
      </c>
      <c r="P30" s="6">
        <v>1031</v>
      </c>
      <c r="Q30" s="36">
        <v>329.4</v>
      </c>
      <c r="R30" s="37">
        <v>6.96</v>
      </c>
      <c r="S30" s="36">
        <v>872</v>
      </c>
      <c r="T30" s="6">
        <v>1312</v>
      </c>
      <c r="U30" s="37">
        <v>19.22</v>
      </c>
      <c r="V30" s="6">
        <v>1234</v>
      </c>
      <c r="W30" s="37">
        <v>-44.89</v>
      </c>
      <c r="X30" s="6">
        <v>2201</v>
      </c>
      <c r="Y30" s="35">
        <v>3.062</v>
      </c>
    </row>
    <row r="31" spans="1:25" ht="12.75">
      <c r="A31" s="6">
        <v>2023</v>
      </c>
      <c r="B31" s="11">
        <v>45288</v>
      </c>
      <c r="C31" s="6">
        <v>34.39</v>
      </c>
      <c r="D31" s="6">
        <v>1542</v>
      </c>
      <c r="E31" s="37">
        <v>19.77</v>
      </c>
      <c r="F31" s="6">
        <v>541</v>
      </c>
      <c r="G31" s="6">
        <v>27.52</v>
      </c>
      <c r="H31" s="37">
        <v>87.21</v>
      </c>
      <c r="I31" s="6">
        <v>413</v>
      </c>
      <c r="J31" s="37">
        <v>41.35</v>
      </c>
      <c r="K31" s="6">
        <v>1526</v>
      </c>
      <c r="L31" s="37">
        <v>64.16</v>
      </c>
      <c r="M31" s="36">
        <v>0</v>
      </c>
      <c r="N31" s="34">
        <f>8.3/3.6</f>
        <v>2.305555555555556</v>
      </c>
      <c r="O31" s="34">
        <v>23.34</v>
      </c>
      <c r="P31" s="6">
        <v>916</v>
      </c>
      <c r="Q31" s="36">
        <v>142.7</v>
      </c>
      <c r="R31" s="37">
        <v>7.05</v>
      </c>
      <c r="S31" s="36">
        <v>941</v>
      </c>
      <c r="T31" s="6">
        <v>1218</v>
      </c>
      <c r="U31" s="37">
        <v>18.1</v>
      </c>
      <c r="V31" s="6">
        <v>1257</v>
      </c>
      <c r="W31" s="37">
        <v>-42.97</v>
      </c>
      <c r="X31" s="6">
        <v>31</v>
      </c>
      <c r="Y31" s="35">
        <v>2.125</v>
      </c>
    </row>
    <row r="32" spans="1:25" ht="12.75">
      <c r="A32" s="6">
        <v>2023</v>
      </c>
      <c r="B32" s="11">
        <v>45289</v>
      </c>
      <c r="C32" s="6">
        <v>34.93</v>
      </c>
      <c r="D32" s="6">
        <v>1536</v>
      </c>
      <c r="E32" s="37">
        <v>23.15</v>
      </c>
      <c r="F32" s="6">
        <v>0</v>
      </c>
      <c r="G32" s="37">
        <v>28.14</v>
      </c>
      <c r="H32" s="37">
        <v>87.15</v>
      </c>
      <c r="I32" s="6">
        <v>618</v>
      </c>
      <c r="J32" s="37">
        <v>48.14</v>
      </c>
      <c r="K32" s="6">
        <v>1708</v>
      </c>
      <c r="L32" s="37">
        <v>69.24</v>
      </c>
      <c r="M32" s="36">
        <v>0</v>
      </c>
      <c r="N32" s="34">
        <f>7.9/3.6</f>
        <v>2.1944444444444446</v>
      </c>
      <c r="O32" s="34">
        <v>24.5</v>
      </c>
      <c r="P32" s="6">
        <v>2352</v>
      </c>
      <c r="Q32" s="36">
        <v>52.6</v>
      </c>
      <c r="R32" s="37">
        <v>7.28</v>
      </c>
      <c r="S32" s="36">
        <v>781</v>
      </c>
      <c r="T32" s="6">
        <v>1339</v>
      </c>
      <c r="U32" s="37">
        <v>5.172</v>
      </c>
      <c r="V32" s="6">
        <v>1359</v>
      </c>
      <c r="W32" s="37">
        <v>-44.54</v>
      </c>
      <c r="X32" s="6">
        <v>2311</v>
      </c>
      <c r="Y32" s="35">
        <v>2.499</v>
      </c>
    </row>
    <row r="33" spans="1:25" ht="12.75">
      <c r="A33" s="6">
        <v>2023</v>
      </c>
      <c r="B33" s="11">
        <v>45290</v>
      </c>
      <c r="C33" s="37">
        <v>30.27</v>
      </c>
      <c r="D33" s="6">
        <v>1536</v>
      </c>
      <c r="E33" s="37">
        <v>22.74</v>
      </c>
      <c r="F33" s="6">
        <v>16</v>
      </c>
      <c r="G33" s="6">
        <v>25.91</v>
      </c>
      <c r="H33" s="37">
        <v>94.88</v>
      </c>
      <c r="I33" s="6">
        <v>534</v>
      </c>
      <c r="J33" s="37">
        <v>68.79</v>
      </c>
      <c r="K33" s="6">
        <v>1544</v>
      </c>
      <c r="L33" s="37">
        <v>83.34</v>
      </c>
      <c r="M33" s="36">
        <v>0</v>
      </c>
      <c r="N33" s="34">
        <f>11.7/3.6</f>
        <v>3.2499999999999996</v>
      </c>
      <c r="O33" s="34">
        <v>33.5</v>
      </c>
      <c r="P33" s="6">
        <v>3</v>
      </c>
      <c r="Q33" s="43">
        <v>264.9</v>
      </c>
      <c r="R33" s="37">
        <v>5.93</v>
      </c>
      <c r="S33" s="36">
        <v>790</v>
      </c>
      <c r="T33" s="6">
        <v>1222</v>
      </c>
      <c r="U33" s="37">
        <v>30.21</v>
      </c>
      <c r="V33" s="6">
        <v>1250</v>
      </c>
      <c r="W33" s="37">
        <v>-45.45</v>
      </c>
      <c r="X33" s="6">
        <v>37</v>
      </c>
      <c r="Y33" s="35">
        <v>2.156</v>
      </c>
    </row>
    <row r="34" spans="1:25" ht="12.75">
      <c r="A34" s="6">
        <v>2023</v>
      </c>
      <c r="B34" s="11">
        <v>45291</v>
      </c>
      <c r="C34" s="37">
        <v>32.15</v>
      </c>
      <c r="D34" s="6">
        <v>1512</v>
      </c>
      <c r="E34" s="37">
        <v>19.56</v>
      </c>
      <c r="F34" s="6">
        <v>527</v>
      </c>
      <c r="G34" s="37">
        <v>24.49</v>
      </c>
      <c r="H34" s="37">
        <v>98.86</v>
      </c>
      <c r="I34" s="6">
        <v>434</v>
      </c>
      <c r="J34" s="37">
        <v>51.04</v>
      </c>
      <c r="K34" s="6">
        <v>1632</v>
      </c>
      <c r="L34" s="37">
        <v>82.92</v>
      </c>
      <c r="M34" s="36">
        <v>0</v>
      </c>
      <c r="N34" s="62">
        <f>10.2/3.6</f>
        <v>2.833333333333333</v>
      </c>
      <c r="O34" s="34">
        <v>33.8</v>
      </c>
      <c r="P34" s="6">
        <v>1830</v>
      </c>
      <c r="Q34" s="36">
        <v>150.4</v>
      </c>
      <c r="R34" s="37">
        <v>6.34</v>
      </c>
      <c r="S34" s="36">
        <v>821</v>
      </c>
      <c r="T34" s="6">
        <v>1317</v>
      </c>
      <c r="U34" s="37">
        <v>29.83</v>
      </c>
      <c r="V34" s="6">
        <v>1257</v>
      </c>
      <c r="W34" s="37">
        <v>-42.66</v>
      </c>
      <c r="X34" s="6">
        <v>234</v>
      </c>
      <c r="Y34" s="35">
        <v>2.419</v>
      </c>
    </row>
    <row r="35" spans="3:25" ht="12.75">
      <c r="C35" s="40">
        <f>AVERAGE(C4:C34)</f>
        <v>33.54297491039427</v>
      </c>
      <c r="D35" s="33"/>
      <c r="E35" s="40">
        <f>AVERAGE(E4:E34)</f>
        <v>21.71659498207885</v>
      </c>
      <c r="F35" s="33"/>
      <c r="G35" s="40">
        <f>AVERAGE(G4:G34)</f>
        <v>26.95164874551971</v>
      </c>
      <c r="H35" s="40">
        <f>AVERAGE(H4:H34)</f>
        <v>90.13967741935487</v>
      </c>
      <c r="I35" s="33"/>
      <c r="J35" s="40">
        <f>AVERAGE(J4:J34)</f>
        <v>46.68806451612904</v>
      </c>
      <c r="K35" s="33"/>
      <c r="L35" s="40">
        <f>AVERAGE(L4:L34)</f>
        <v>69.8993548387097</v>
      </c>
      <c r="M35" s="41">
        <f>SUM(M4:M34)</f>
        <v>82.35399999999998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41">
        <f>SUM(Y4:Y34)</f>
        <v>91.07299999999996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7" r:id="rId1"/>
  <headerFooter alignWithMargins="0">
    <oddHeader>&amp;C&amp;"Arial,Negrito"DADOS METEOROLÓGICOS - ESTAÇÃO EXPERIMENTAL DE CITRICULTURA DE BEBEDOURO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2.57421875" style="0" customWidth="1"/>
    <col min="2" max="2" width="11.57421875" style="0" customWidth="1"/>
    <col min="3" max="3" width="11.7109375" style="0" customWidth="1"/>
    <col min="4" max="4" width="12.28125" style="0" customWidth="1"/>
  </cols>
  <sheetData>
    <row r="1" spans="1:7" ht="25.5" customHeight="1">
      <c r="A1" s="18" t="s">
        <v>40</v>
      </c>
      <c r="B1" s="16" t="s">
        <v>45</v>
      </c>
      <c r="C1" s="16" t="s">
        <v>46</v>
      </c>
      <c r="D1" s="16" t="s">
        <v>36</v>
      </c>
      <c r="E1" s="16" t="s">
        <v>37</v>
      </c>
      <c r="F1" s="15"/>
      <c r="G1" s="28" t="s">
        <v>41</v>
      </c>
    </row>
    <row r="2" spans="1:7" ht="12.75">
      <c r="A2" s="12" t="s">
        <v>0</v>
      </c>
      <c r="B2" s="34">
        <f>JAN!E35</f>
        <v>19.756129032258062</v>
      </c>
      <c r="C2" s="34">
        <f>JAN!C35</f>
        <v>29.444838709677423</v>
      </c>
      <c r="D2" s="43">
        <f>JAN!M35</f>
        <v>340.3</v>
      </c>
      <c r="E2" s="34">
        <f>JAN!Y35</f>
        <v>57.05</v>
      </c>
      <c r="F2" s="29"/>
      <c r="G2" s="30">
        <f>AVERAGE(B2:C2)</f>
        <v>24.600483870967743</v>
      </c>
    </row>
    <row r="3" spans="1:7" ht="12.75">
      <c r="A3" s="12" t="s">
        <v>1</v>
      </c>
      <c r="B3" s="34">
        <f>FEV!E32</f>
        <v>19.32964285714286</v>
      </c>
      <c r="C3" s="34">
        <f>FEV!C32</f>
        <v>30.383928571428562</v>
      </c>
      <c r="D3" s="43">
        <f>FEV!M32</f>
        <v>249.2</v>
      </c>
      <c r="E3" s="34">
        <f>FEV!Y32</f>
        <v>48.516999999999996</v>
      </c>
      <c r="F3" s="29"/>
      <c r="G3" s="30">
        <f aca="true" t="shared" si="0" ref="G3:G12">AVERAGE(B3:C3)</f>
        <v>24.856785714285714</v>
      </c>
    </row>
    <row r="4" spans="1:7" ht="12.75">
      <c r="A4" s="12" t="s">
        <v>2</v>
      </c>
      <c r="B4" s="34">
        <f>MAR!E34</f>
        <v>19.45741935483871</v>
      </c>
      <c r="C4" s="34">
        <f>MAR!C34</f>
        <v>31.536451612903225</v>
      </c>
      <c r="D4" s="43">
        <f>MAR!M34</f>
        <v>135.20000000000002</v>
      </c>
      <c r="E4" s="34">
        <f>MAR!Y34</f>
        <v>54.66599999999999</v>
      </c>
      <c r="F4" s="29"/>
      <c r="G4" s="30">
        <f t="shared" si="0"/>
        <v>25.496935483870967</v>
      </c>
    </row>
    <row r="5" spans="1:7" ht="12.75">
      <c r="A5" s="12" t="s">
        <v>3</v>
      </c>
      <c r="B5" s="34">
        <f>ABR!E33</f>
        <v>17.083333333333332</v>
      </c>
      <c r="C5" s="34">
        <f>ABR!C33</f>
        <v>28.412666666666663</v>
      </c>
      <c r="D5" s="43">
        <f>ABR!M33</f>
        <v>98.6</v>
      </c>
      <c r="E5" s="34">
        <f>ABR!Y33</f>
        <v>44.202</v>
      </c>
      <c r="F5" s="29"/>
      <c r="G5" s="30">
        <f>AVERAGE(B5:C5)</f>
        <v>22.747999999999998</v>
      </c>
    </row>
    <row r="6" spans="1:7" ht="12.75">
      <c r="A6" s="12" t="s">
        <v>4</v>
      </c>
      <c r="B6" s="34">
        <f>MAI!E35</f>
        <v>13.853225806451613</v>
      </c>
      <c r="C6" s="34">
        <f>MAI!C35</f>
        <v>27.400000000000002</v>
      </c>
      <c r="D6" s="43">
        <f>MAI!M35</f>
        <v>36.7</v>
      </c>
      <c r="E6" s="34">
        <f>MAI!Y35</f>
        <v>41.504999999999995</v>
      </c>
      <c r="F6" s="29"/>
      <c r="G6" s="30">
        <f t="shared" si="0"/>
        <v>20.62661290322581</v>
      </c>
    </row>
    <row r="7" spans="1:7" ht="12.75">
      <c r="A7" s="12" t="s">
        <v>5</v>
      </c>
      <c r="B7" s="34">
        <f>JUN!E34</f>
        <v>11.962666666666665</v>
      </c>
      <c r="C7" s="34">
        <f>JUN!C34</f>
        <v>25.45466666666667</v>
      </c>
      <c r="D7" s="43">
        <f>JUN!M34</f>
        <v>33.1</v>
      </c>
      <c r="E7" s="34">
        <f>JUN!Y34</f>
        <v>36.69299999999999</v>
      </c>
      <c r="F7" s="29"/>
      <c r="G7" s="30">
        <f t="shared" si="0"/>
        <v>18.70866666666667</v>
      </c>
    </row>
    <row r="8" spans="1:7" ht="12.75">
      <c r="A8" s="12" t="s">
        <v>6</v>
      </c>
      <c r="B8" s="34">
        <f>JUL!E35</f>
        <v>14.419677419354837</v>
      </c>
      <c r="C8" s="34">
        <f>JUL!C35</f>
        <v>28.198387096774198</v>
      </c>
      <c r="D8" s="43">
        <f>JUL!M35</f>
        <v>2.8</v>
      </c>
      <c r="E8" s="34">
        <f>JUL!Y35</f>
        <v>47.63600000000002</v>
      </c>
      <c r="F8" s="29"/>
      <c r="G8" s="30">
        <f t="shared" si="0"/>
        <v>21.30903225806452</v>
      </c>
    </row>
    <row r="9" spans="1:7" ht="12.75">
      <c r="A9" s="12" t="s">
        <v>7</v>
      </c>
      <c r="B9" s="34">
        <f>AGO!E35</f>
        <v>17.016451612903225</v>
      </c>
      <c r="C9" s="34">
        <f>AGO!C35</f>
        <v>29.977419354838705</v>
      </c>
      <c r="D9" s="43">
        <f>AGO!M35</f>
        <v>13.7</v>
      </c>
      <c r="E9" s="34">
        <f>AGO!Y35</f>
        <v>51.17299999999999</v>
      </c>
      <c r="F9" s="29"/>
      <c r="G9" s="30">
        <f t="shared" si="0"/>
        <v>23.496935483870963</v>
      </c>
    </row>
    <row r="10" spans="1:7" ht="12.75">
      <c r="A10" s="12" t="s">
        <v>8</v>
      </c>
      <c r="B10" s="34">
        <f>SET!E34</f>
        <v>19.931666666666665</v>
      </c>
      <c r="C10" s="34">
        <f>SET!C34</f>
        <v>33.55833333333333</v>
      </c>
      <c r="D10" s="43">
        <f>SET!M34</f>
        <v>36.1</v>
      </c>
      <c r="E10" s="34">
        <f>SET!Y34</f>
        <v>72.339</v>
      </c>
      <c r="F10" s="29"/>
      <c r="G10" s="30">
        <f t="shared" si="0"/>
        <v>26.744999999999997</v>
      </c>
    </row>
    <row r="11" spans="1:7" ht="12.75">
      <c r="A11" s="12" t="s">
        <v>9</v>
      </c>
      <c r="B11" s="34">
        <f>OUT!E35</f>
        <v>21.09039426523297</v>
      </c>
      <c r="C11" s="34">
        <f>OUT!C35</f>
        <v>33.17770609318996</v>
      </c>
      <c r="D11" s="43">
        <f>OUT!M35</f>
        <v>132.7</v>
      </c>
      <c r="E11" s="34">
        <f>OUT!Y35</f>
        <v>94.34700000000001</v>
      </c>
      <c r="F11" s="29"/>
      <c r="G11" s="30">
        <f t="shared" si="0"/>
        <v>27.134050179211464</v>
      </c>
    </row>
    <row r="12" spans="1:7" ht="12.75">
      <c r="A12" s="12" t="s">
        <v>10</v>
      </c>
      <c r="B12" s="34">
        <f>NOV!E34</f>
        <v>20.785185185185185</v>
      </c>
      <c r="C12" s="34">
        <f>NOV!C34</f>
        <v>33.51222222222221</v>
      </c>
      <c r="D12" s="43">
        <f>NOV!M34</f>
        <v>162.1</v>
      </c>
      <c r="E12" s="34">
        <f>NOV!Y34</f>
        <v>84.77200000000002</v>
      </c>
      <c r="F12" s="29"/>
      <c r="G12" s="30">
        <f t="shared" si="0"/>
        <v>27.1487037037037</v>
      </c>
    </row>
    <row r="13" spans="1:7" ht="12.75">
      <c r="A13" s="12" t="s">
        <v>11</v>
      </c>
      <c r="B13" s="34">
        <f>DEZ!E35</f>
        <v>21.71659498207885</v>
      </c>
      <c r="C13" s="34">
        <f>DEZ!C35</f>
        <v>33.54297491039427</v>
      </c>
      <c r="D13" s="43">
        <f>DEZ!M35</f>
        <v>82.35399999999998</v>
      </c>
      <c r="E13" s="34">
        <f>DEZ!Y35</f>
        <v>91.07299999999996</v>
      </c>
      <c r="F13" s="29"/>
      <c r="G13" s="30">
        <f>AVERAGE(B13:C13)</f>
        <v>27.629784946236562</v>
      </c>
    </row>
    <row r="14" spans="1:7" ht="12.75">
      <c r="A14" s="17" t="s">
        <v>38</v>
      </c>
      <c r="B14" s="49">
        <f>AVERAGE(B2:B13)</f>
        <v>18.03353226517608</v>
      </c>
      <c r="C14" s="49">
        <f>AVERAGE(C2:C13)</f>
        <v>30.383299603174596</v>
      </c>
      <c r="D14" s="50">
        <f>SUM(D2:D13)</f>
        <v>1322.854</v>
      </c>
      <c r="E14" s="49">
        <f>SUM(E2:E13)</f>
        <v>723.9730000000001</v>
      </c>
      <c r="F14" s="29"/>
      <c r="G14" s="29"/>
    </row>
    <row r="15" spans="1:5" ht="12.75">
      <c r="A15" s="19"/>
      <c r="B15" s="20"/>
      <c r="C15" s="20"/>
      <c r="D15" s="21"/>
      <c r="E15" s="22"/>
    </row>
    <row r="16" spans="1:3" ht="25.5" customHeight="1">
      <c r="A16" s="23" t="s">
        <v>39</v>
      </c>
      <c r="B16" s="24">
        <f>AVERAGE(B14:C14)</f>
        <v>24.20841593417534</v>
      </c>
      <c r="C16" s="25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75" zoomScaleSheetLayoutView="75" zoomScalePageLayoutView="0" workbookViewId="0" topLeftCell="B2">
      <selection activeCell="U22" sqref="U22:Y22"/>
    </sheetView>
  </sheetViews>
  <sheetFormatPr defaultColWidth="9.140625" defaultRowHeight="12.75"/>
  <cols>
    <col min="1" max="1" width="7.28125" style="0" customWidth="1"/>
    <col min="2" max="2" width="8.28125" style="0" customWidth="1"/>
    <col min="3" max="3" width="9.7109375" style="0" customWidth="1"/>
    <col min="5" max="5" width="9.57421875" style="0" customWidth="1"/>
    <col min="6" max="6" width="8.28125" style="0" customWidth="1"/>
    <col min="7" max="7" width="9.7109375" style="0" customWidth="1"/>
    <col min="8" max="8" width="10.28125" style="0" bestFit="1" customWidth="1"/>
    <col min="9" max="9" width="7.28125" style="0" customWidth="1"/>
    <col min="11" max="11" width="7.28125" style="0" customWidth="1"/>
    <col min="13" max="13" width="8.421875" style="0" customWidth="1"/>
    <col min="15" max="15" width="10.00390625" style="0" bestFit="1" customWidth="1"/>
    <col min="16" max="16" width="7.28125" style="0" customWidth="1"/>
    <col min="17" max="17" width="7.7109375" style="0" customWidth="1"/>
    <col min="22" max="22" width="7.7109375" style="0" customWidth="1"/>
    <col min="24" max="24" width="7.7109375" style="0" customWidth="1"/>
    <col min="25" max="25" width="7.57421875" style="0" customWidth="1"/>
  </cols>
  <sheetData>
    <row r="1" spans="1:5" ht="12.75">
      <c r="A1" s="70">
        <v>43101</v>
      </c>
      <c r="B1" s="70"/>
      <c r="C1" s="8">
        <v>1</v>
      </c>
      <c r="E1">
        <v>3.6</v>
      </c>
    </row>
    <row r="2" spans="1:25" ht="30">
      <c r="A2" s="71" t="s">
        <v>12</v>
      </c>
      <c r="B2" s="71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10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72"/>
      <c r="B3" s="72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2023</v>
      </c>
      <c r="B4" s="53">
        <v>44927</v>
      </c>
      <c r="C4" s="37">
        <v>30.72</v>
      </c>
      <c r="D4" s="6">
        <v>1544</v>
      </c>
      <c r="E4" s="6">
        <v>20.03</v>
      </c>
      <c r="F4" s="6">
        <v>534</v>
      </c>
      <c r="G4" s="37">
        <v>24.94</v>
      </c>
      <c r="H4" s="37">
        <v>99.02</v>
      </c>
      <c r="I4" s="6">
        <v>518</v>
      </c>
      <c r="J4" s="37">
        <v>56.13</v>
      </c>
      <c r="K4" s="6">
        <v>1557</v>
      </c>
      <c r="L4" s="37">
        <v>80.24</v>
      </c>
      <c r="M4" s="6">
        <v>0</v>
      </c>
      <c r="N4" s="34">
        <v>1.52</v>
      </c>
      <c r="O4" s="34">
        <v>22.69</v>
      </c>
      <c r="P4" s="6">
        <v>1954</v>
      </c>
      <c r="Q4" s="36">
        <v>61.5</v>
      </c>
      <c r="R4" s="37">
        <v>7.69</v>
      </c>
      <c r="S4" s="36">
        <v>1092.7</v>
      </c>
      <c r="T4" s="6">
        <v>1214</v>
      </c>
      <c r="U4" s="37">
        <v>52.02</v>
      </c>
      <c r="V4" s="6">
        <v>1436</v>
      </c>
      <c r="W4" s="37">
        <v>-17.77</v>
      </c>
      <c r="X4" s="6">
        <v>642</v>
      </c>
      <c r="Y4" s="35">
        <v>2.115</v>
      </c>
    </row>
    <row r="5" spans="1:25" ht="12.75">
      <c r="A5" s="6">
        <v>2023</v>
      </c>
      <c r="B5" s="53">
        <v>44928</v>
      </c>
      <c r="C5" s="6">
        <v>30.63</v>
      </c>
      <c r="D5" s="6">
        <v>1359</v>
      </c>
      <c r="E5" s="37">
        <v>20.11</v>
      </c>
      <c r="F5" s="6">
        <v>539</v>
      </c>
      <c r="G5" s="37">
        <v>24.33</v>
      </c>
      <c r="H5" s="37">
        <v>98.84</v>
      </c>
      <c r="I5" s="6">
        <v>521</v>
      </c>
      <c r="J5" s="37">
        <v>58.26</v>
      </c>
      <c r="K5" s="6">
        <v>1412</v>
      </c>
      <c r="L5" s="37">
        <v>82.11</v>
      </c>
      <c r="M5" s="6">
        <v>0</v>
      </c>
      <c r="N5" s="34">
        <v>2.23</v>
      </c>
      <c r="O5" s="34">
        <v>32.99</v>
      </c>
      <c r="P5" s="6">
        <v>2019</v>
      </c>
      <c r="Q5" s="36">
        <v>64.1</v>
      </c>
      <c r="R5" s="37">
        <v>7.52</v>
      </c>
      <c r="S5" s="36">
        <v>1159.1</v>
      </c>
      <c r="T5" s="6">
        <v>1159</v>
      </c>
      <c r="U5" s="37">
        <v>62.01</v>
      </c>
      <c r="V5" s="6">
        <v>1452</v>
      </c>
      <c r="W5" s="37">
        <v>-16.7</v>
      </c>
      <c r="X5" s="6">
        <v>429</v>
      </c>
      <c r="Y5" s="35">
        <v>2.447</v>
      </c>
    </row>
    <row r="6" spans="1:25" ht="12.75">
      <c r="A6" s="6">
        <v>2023</v>
      </c>
      <c r="B6" s="53">
        <v>44929</v>
      </c>
      <c r="C6" s="6">
        <v>27.62</v>
      </c>
      <c r="D6" s="6">
        <v>1644</v>
      </c>
      <c r="E6" s="37">
        <v>19.5</v>
      </c>
      <c r="F6" s="6">
        <v>234</v>
      </c>
      <c r="G6" s="37">
        <v>22.56</v>
      </c>
      <c r="H6" s="37">
        <v>99.25</v>
      </c>
      <c r="I6" s="6">
        <v>302</v>
      </c>
      <c r="J6" s="6">
        <v>68.42</v>
      </c>
      <c r="K6" s="6">
        <v>1652</v>
      </c>
      <c r="L6" s="37">
        <v>91.02</v>
      </c>
      <c r="M6" s="6">
        <v>2.2</v>
      </c>
      <c r="N6" s="34">
        <v>2.01</v>
      </c>
      <c r="O6" s="34">
        <v>32.28</v>
      </c>
      <c r="P6" s="6">
        <v>1508</v>
      </c>
      <c r="Q6" s="6">
        <v>65.7</v>
      </c>
      <c r="R6" s="6">
        <v>6.89</v>
      </c>
      <c r="S6" s="36">
        <v>1426.3</v>
      </c>
      <c r="T6" s="6">
        <v>1204</v>
      </c>
      <c r="U6" s="37">
        <v>28.19</v>
      </c>
      <c r="V6" s="6">
        <v>1539</v>
      </c>
      <c r="W6" s="37">
        <v>-20.1</v>
      </c>
      <c r="X6" s="6">
        <v>114</v>
      </c>
      <c r="Y6" s="35">
        <v>1.178</v>
      </c>
    </row>
    <row r="7" spans="1:25" ht="12.75">
      <c r="A7" s="6">
        <v>2023</v>
      </c>
      <c r="B7" s="53">
        <v>44930</v>
      </c>
      <c r="C7" s="37">
        <v>26.72</v>
      </c>
      <c r="D7" s="6">
        <v>1614</v>
      </c>
      <c r="E7" s="37">
        <v>19.78</v>
      </c>
      <c r="F7" s="6">
        <v>534</v>
      </c>
      <c r="G7" s="37">
        <v>21.67</v>
      </c>
      <c r="H7" s="37">
        <v>99.14</v>
      </c>
      <c r="I7" s="6">
        <v>523</v>
      </c>
      <c r="J7" s="6">
        <v>76.34</v>
      </c>
      <c r="K7" s="6">
        <v>1624</v>
      </c>
      <c r="L7" s="37">
        <v>96.15</v>
      </c>
      <c r="M7" s="6">
        <v>24.6</v>
      </c>
      <c r="N7" s="34">
        <v>2.5</v>
      </c>
      <c r="O7" s="34">
        <v>44.58</v>
      </c>
      <c r="P7" s="6">
        <v>1804</v>
      </c>
      <c r="Q7" s="36">
        <v>356.2</v>
      </c>
      <c r="R7" s="37">
        <v>6.51</v>
      </c>
      <c r="S7" s="36">
        <v>1180.1</v>
      </c>
      <c r="T7" s="6">
        <v>1329</v>
      </c>
      <c r="U7" s="37">
        <v>26.16</v>
      </c>
      <c r="V7" s="6">
        <v>1511</v>
      </c>
      <c r="W7" s="37">
        <v>-18.39</v>
      </c>
      <c r="X7" s="6">
        <v>405</v>
      </c>
      <c r="Y7" s="35">
        <v>1.102</v>
      </c>
    </row>
    <row r="8" spans="1:26" ht="12.75">
      <c r="A8" s="6">
        <v>2023</v>
      </c>
      <c r="B8" s="53">
        <v>44931</v>
      </c>
      <c r="C8" s="37">
        <v>25.28</v>
      </c>
      <c r="D8" s="6">
        <v>1604</v>
      </c>
      <c r="E8" s="37">
        <v>19.22</v>
      </c>
      <c r="F8" s="6">
        <v>549</v>
      </c>
      <c r="G8" s="37">
        <v>21.39</v>
      </c>
      <c r="H8" s="37">
        <v>99.74</v>
      </c>
      <c r="I8" s="6">
        <v>536</v>
      </c>
      <c r="J8" s="37">
        <v>81.55</v>
      </c>
      <c r="K8" s="6">
        <v>1613</v>
      </c>
      <c r="L8" s="37">
        <v>96.37</v>
      </c>
      <c r="M8" s="36">
        <v>12.5</v>
      </c>
      <c r="N8" s="34">
        <v>2.24</v>
      </c>
      <c r="O8" s="34">
        <v>27.04</v>
      </c>
      <c r="P8" s="6">
        <v>2049</v>
      </c>
      <c r="Q8" s="36">
        <v>321.5</v>
      </c>
      <c r="R8" s="37">
        <v>5.97</v>
      </c>
      <c r="S8" s="36">
        <v>1223.4</v>
      </c>
      <c r="T8" s="6">
        <v>1339</v>
      </c>
      <c r="U8" s="34">
        <v>6.452</v>
      </c>
      <c r="V8" s="6">
        <v>1136</v>
      </c>
      <c r="W8" s="37">
        <v>-34.38</v>
      </c>
      <c r="X8" s="6">
        <v>1321</v>
      </c>
      <c r="Y8" s="35">
        <v>0.405</v>
      </c>
      <c r="Z8" s="33"/>
    </row>
    <row r="9" spans="1:25" ht="12.75">
      <c r="A9" s="6">
        <v>2023</v>
      </c>
      <c r="B9" s="53">
        <v>44932</v>
      </c>
      <c r="C9" s="37">
        <v>25.22</v>
      </c>
      <c r="D9" s="6">
        <v>1619</v>
      </c>
      <c r="E9" s="37">
        <v>18.28</v>
      </c>
      <c r="F9" s="6">
        <v>436</v>
      </c>
      <c r="G9" s="37">
        <v>20.78</v>
      </c>
      <c r="H9" s="37">
        <v>97.23</v>
      </c>
      <c r="I9" s="6">
        <v>425</v>
      </c>
      <c r="J9" s="37">
        <v>79.07</v>
      </c>
      <c r="K9" s="6">
        <v>1623</v>
      </c>
      <c r="L9" s="37">
        <v>90.11</v>
      </c>
      <c r="M9" s="6">
        <v>3.2</v>
      </c>
      <c r="N9" s="34">
        <v>3.8</v>
      </c>
      <c r="O9" s="34">
        <v>29.13</v>
      </c>
      <c r="P9" s="6">
        <v>2219</v>
      </c>
      <c r="Q9" s="36">
        <v>132.6</v>
      </c>
      <c r="R9" s="37">
        <v>5.84</v>
      </c>
      <c r="S9" s="36">
        <v>978.7</v>
      </c>
      <c r="T9" s="6">
        <v>1239</v>
      </c>
      <c r="U9" s="37">
        <v>25.63</v>
      </c>
      <c r="V9" s="38">
        <v>1324</v>
      </c>
      <c r="W9" s="6">
        <v>-29.01</v>
      </c>
      <c r="X9" s="6">
        <v>1828</v>
      </c>
      <c r="Y9" s="35">
        <v>1.386</v>
      </c>
    </row>
    <row r="10" spans="1:25" ht="12.75">
      <c r="A10" s="6">
        <v>2023</v>
      </c>
      <c r="B10" s="53">
        <v>44933</v>
      </c>
      <c r="C10" s="6">
        <v>27.25</v>
      </c>
      <c r="D10" s="6">
        <v>1404</v>
      </c>
      <c r="E10" s="6">
        <v>17.29</v>
      </c>
      <c r="F10" s="6">
        <v>349</v>
      </c>
      <c r="G10" s="37">
        <v>20.5</v>
      </c>
      <c r="H10" s="37">
        <v>99.37</v>
      </c>
      <c r="I10" s="6">
        <v>358</v>
      </c>
      <c r="J10" s="37">
        <v>69.24</v>
      </c>
      <c r="K10" s="6">
        <v>1418</v>
      </c>
      <c r="L10" s="37">
        <v>92.37</v>
      </c>
      <c r="M10" s="36">
        <v>37.9</v>
      </c>
      <c r="N10" s="34">
        <v>3.08</v>
      </c>
      <c r="O10" s="34">
        <v>28.81</v>
      </c>
      <c r="P10" s="6">
        <v>134</v>
      </c>
      <c r="Q10" s="36">
        <v>149.3</v>
      </c>
      <c r="R10" s="37">
        <v>6.47</v>
      </c>
      <c r="S10" s="36">
        <v>1369.6</v>
      </c>
      <c r="T10" s="6">
        <v>1344</v>
      </c>
      <c r="U10" s="6">
        <v>32.65</v>
      </c>
      <c r="V10" s="6">
        <v>1518</v>
      </c>
      <c r="W10" s="36">
        <v>-104</v>
      </c>
      <c r="X10" s="6">
        <v>2219</v>
      </c>
      <c r="Y10" s="6">
        <v>1.234</v>
      </c>
    </row>
    <row r="11" spans="1:25" ht="12.75">
      <c r="A11" s="6">
        <v>2023</v>
      </c>
      <c r="B11" s="53">
        <v>44934</v>
      </c>
      <c r="C11" s="6">
        <v>24.31</v>
      </c>
      <c r="D11" s="6">
        <v>1419</v>
      </c>
      <c r="E11" s="6">
        <v>18.06</v>
      </c>
      <c r="F11" s="6">
        <v>319</v>
      </c>
      <c r="G11" s="37">
        <v>20.11</v>
      </c>
      <c r="H11" s="37">
        <v>99.06</v>
      </c>
      <c r="I11" s="6">
        <v>327</v>
      </c>
      <c r="J11" s="37">
        <v>87.84</v>
      </c>
      <c r="K11" s="6">
        <v>1432</v>
      </c>
      <c r="L11" s="37">
        <v>96.92</v>
      </c>
      <c r="M11" s="6">
        <v>35.1</v>
      </c>
      <c r="N11" s="34">
        <v>2.19</v>
      </c>
      <c r="O11" s="34">
        <v>25.91</v>
      </c>
      <c r="P11" s="6">
        <v>39</v>
      </c>
      <c r="Q11" s="36">
        <v>151.9</v>
      </c>
      <c r="R11" s="6">
        <v>5.91</v>
      </c>
      <c r="S11" s="36">
        <v>919.2</v>
      </c>
      <c r="T11" s="6">
        <v>1309</v>
      </c>
      <c r="U11" s="37">
        <v>13.67</v>
      </c>
      <c r="V11" s="6">
        <v>1142</v>
      </c>
      <c r="W11" s="37">
        <v>-19.17</v>
      </c>
      <c r="X11" s="6">
        <v>0</v>
      </c>
      <c r="Y11" s="39">
        <v>0.605</v>
      </c>
    </row>
    <row r="12" spans="1:25" ht="12.75">
      <c r="A12" s="6">
        <v>2023</v>
      </c>
      <c r="B12" s="53">
        <v>44935</v>
      </c>
      <c r="C12" s="6">
        <v>26.11</v>
      </c>
      <c r="D12" s="6">
        <v>1404</v>
      </c>
      <c r="E12" s="37">
        <v>19.12</v>
      </c>
      <c r="F12" s="6">
        <v>103</v>
      </c>
      <c r="G12" s="37">
        <v>21.39</v>
      </c>
      <c r="H12" s="37">
        <v>99.15</v>
      </c>
      <c r="I12" s="6">
        <v>354</v>
      </c>
      <c r="J12" s="37">
        <v>80.38</v>
      </c>
      <c r="K12" s="6">
        <v>1419</v>
      </c>
      <c r="L12" s="37">
        <v>95.78</v>
      </c>
      <c r="M12" s="6">
        <v>16.8</v>
      </c>
      <c r="N12" s="34">
        <v>1.65</v>
      </c>
      <c r="O12" s="34">
        <v>26.23</v>
      </c>
      <c r="P12" s="6">
        <v>1429</v>
      </c>
      <c r="Q12" s="36">
        <v>63.4</v>
      </c>
      <c r="R12" s="37">
        <v>6.17</v>
      </c>
      <c r="S12" s="36">
        <v>1138.2</v>
      </c>
      <c r="T12" s="6">
        <v>1129</v>
      </c>
      <c r="U12" s="34">
        <v>8.62</v>
      </c>
      <c r="V12" s="6">
        <v>1149</v>
      </c>
      <c r="W12" s="37">
        <v>-22.58</v>
      </c>
      <c r="X12" s="6">
        <v>0</v>
      </c>
      <c r="Y12" s="35">
        <v>1.112</v>
      </c>
    </row>
    <row r="13" spans="1:25" ht="12.75">
      <c r="A13" s="6">
        <v>2023</v>
      </c>
      <c r="B13" s="53">
        <v>44936</v>
      </c>
      <c r="C13" s="37">
        <v>26.79</v>
      </c>
      <c r="D13" s="6">
        <v>1629</v>
      </c>
      <c r="E13" s="37">
        <v>19.79</v>
      </c>
      <c r="F13" s="6">
        <v>534</v>
      </c>
      <c r="G13" s="37">
        <v>22.76</v>
      </c>
      <c r="H13" s="37">
        <v>98.92</v>
      </c>
      <c r="I13" s="6">
        <v>539</v>
      </c>
      <c r="J13" s="6">
        <v>72.15</v>
      </c>
      <c r="K13" s="6">
        <v>1632</v>
      </c>
      <c r="L13" s="37">
        <v>90.01</v>
      </c>
      <c r="M13" s="36">
        <v>6.3</v>
      </c>
      <c r="N13" s="34">
        <v>1.92</v>
      </c>
      <c r="O13" s="34">
        <v>19.47</v>
      </c>
      <c r="P13" s="6">
        <v>519</v>
      </c>
      <c r="Q13" s="36">
        <v>64.2</v>
      </c>
      <c r="R13" s="37">
        <v>6.49</v>
      </c>
      <c r="S13" s="36">
        <v>1043.3</v>
      </c>
      <c r="T13" s="6">
        <v>1414</v>
      </c>
      <c r="U13" s="37">
        <v>34.54</v>
      </c>
      <c r="V13" s="6">
        <v>1340</v>
      </c>
      <c r="W13" s="37">
        <v>-20.55</v>
      </c>
      <c r="X13" s="6">
        <v>1732</v>
      </c>
      <c r="Y13" s="35">
        <v>1.323</v>
      </c>
    </row>
    <row r="14" spans="1:25" ht="12.75">
      <c r="A14" s="6">
        <v>2023</v>
      </c>
      <c r="B14" s="53">
        <v>44937</v>
      </c>
      <c r="C14" s="6">
        <v>28.11</v>
      </c>
      <c r="D14" s="6">
        <v>1439</v>
      </c>
      <c r="E14" s="37">
        <v>20.5</v>
      </c>
      <c r="F14" s="6">
        <v>414</v>
      </c>
      <c r="G14" s="37">
        <v>23.06</v>
      </c>
      <c r="H14" s="37">
        <v>99.04</v>
      </c>
      <c r="I14" s="6">
        <v>412</v>
      </c>
      <c r="J14" s="37">
        <v>67.25</v>
      </c>
      <c r="K14" s="6">
        <v>1447</v>
      </c>
      <c r="L14" s="37">
        <v>93.27</v>
      </c>
      <c r="M14" s="6">
        <v>4.2</v>
      </c>
      <c r="N14" s="34">
        <v>1.65</v>
      </c>
      <c r="O14" s="34">
        <v>23.01</v>
      </c>
      <c r="P14" s="6">
        <v>1519</v>
      </c>
      <c r="Q14" s="36">
        <v>65.9</v>
      </c>
      <c r="R14" s="37">
        <v>6.87</v>
      </c>
      <c r="S14" s="36">
        <v>1289.7</v>
      </c>
      <c r="T14" s="6">
        <v>1329</v>
      </c>
      <c r="U14" s="37">
        <v>35.5</v>
      </c>
      <c r="V14" s="6">
        <v>1359</v>
      </c>
      <c r="W14" s="37">
        <v>-14.39</v>
      </c>
      <c r="X14" s="6">
        <v>542</v>
      </c>
      <c r="Y14" s="35">
        <v>1.846</v>
      </c>
    </row>
    <row r="15" spans="1:25" ht="12.75">
      <c r="A15" s="6">
        <v>2023</v>
      </c>
      <c r="B15" s="53">
        <v>44938</v>
      </c>
      <c r="C15" s="37">
        <v>28.29</v>
      </c>
      <c r="D15" s="6">
        <v>1649</v>
      </c>
      <c r="E15" s="6">
        <v>19.39</v>
      </c>
      <c r="F15" s="6">
        <v>539</v>
      </c>
      <c r="G15" s="37">
        <v>23.11</v>
      </c>
      <c r="H15" s="37">
        <v>98.87</v>
      </c>
      <c r="I15" s="6">
        <v>526</v>
      </c>
      <c r="J15" s="37">
        <v>64.12</v>
      </c>
      <c r="K15" s="6">
        <v>1652</v>
      </c>
      <c r="L15" s="37">
        <v>88.26</v>
      </c>
      <c r="M15" s="44">
        <v>10.3</v>
      </c>
      <c r="N15" s="34">
        <v>1.92</v>
      </c>
      <c r="O15" s="34">
        <v>21.57</v>
      </c>
      <c r="P15" s="6">
        <v>1521</v>
      </c>
      <c r="Q15" s="36">
        <v>321.4</v>
      </c>
      <c r="R15" s="37">
        <v>7.02</v>
      </c>
      <c r="S15" s="36">
        <v>1222.4</v>
      </c>
      <c r="T15" s="6">
        <v>849</v>
      </c>
      <c r="U15" s="37">
        <v>8.62</v>
      </c>
      <c r="V15" s="6">
        <v>1009</v>
      </c>
      <c r="W15" s="37">
        <v>-36.07</v>
      </c>
      <c r="X15" s="6">
        <v>325</v>
      </c>
      <c r="Y15" s="35">
        <v>1.816</v>
      </c>
    </row>
    <row r="16" spans="1:25" ht="12.75">
      <c r="A16" s="6">
        <v>2023</v>
      </c>
      <c r="B16" s="53">
        <v>44939</v>
      </c>
      <c r="C16" s="37">
        <v>29.03</v>
      </c>
      <c r="D16" s="6">
        <v>1729</v>
      </c>
      <c r="E16" s="37">
        <v>20.41</v>
      </c>
      <c r="F16" s="6">
        <v>609</v>
      </c>
      <c r="G16" s="37">
        <v>23.56</v>
      </c>
      <c r="H16" s="37">
        <v>99.12</v>
      </c>
      <c r="I16" s="6">
        <v>601</v>
      </c>
      <c r="J16" s="37">
        <v>62.28</v>
      </c>
      <c r="K16" s="6">
        <v>1725</v>
      </c>
      <c r="L16" s="37">
        <v>89.34</v>
      </c>
      <c r="M16" s="6">
        <v>4.8</v>
      </c>
      <c r="N16" s="34">
        <v>2.41</v>
      </c>
      <c r="O16" s="34">
        <v>24.78</v>
      </c>
      <c r="P16" s="6">
        <v>1309</v>
      </c>
      <c r="Q16" s="36">
        <v>349.2</v>
      </c>
      <c r="R16" s="37">
        <v>7.18</v>
      </c>
      <c r="S16" s="36">
        <v>1231.1</v>
      </c>
      <c r="T16" s="6">
        <v>1159</v>
      </c>
      <c r="U16" s="37">
        <v>20.86</v>
      </c>
      <c r="V16" s="6">
        <v>1328</v>
      </c>
      <c r="W16" s="37">
        <v>-35.76</v>
      </c>
      <c r="X16" s="6">
        <v>2057</v>
      </c>
      <c r="Y16" s="35">
        <v>1.824</v>
      </c>
    </row>
    <row r="17" spans="1:25" ht="12.75">
      <c r="A17" s="6">
        <v>2023</v>
      </c>
      <c r="B17" s="53">
        <v>44940</v>
      </c>
      <c r="C17" s="37">
        <v>30.5</v>
      </c>
      <c r="D17" s="6">
        <v>1559</v>
      </c>
      <c r="E17" s="6">
        <v>19.72</v>
      </c>
      <c r="F17" s="6">
        <v>529</v>
      </c>
      <c r="G17" s="37">
        <v>24.17</v>
      </c>
      <c r="H17" s="37">
        <v>98.35</v>
      </c>
      <c r="I17" s="6">
        <v>524</v>
      </c>
      <c r="J17" s="37">
        <v>50.05</v>
      </c>
      <c r="K17" s="6">
        <v>1603</v>
      </c>
      <c r="L17" s="37">
        <v>84.16</v>
      </c>
      <c r="M17" s="6">
        <v>7.2</v>
      </c>
      <c r="N17" s="34">
        <v>2.1</v>
      </c>
      <c r="O17" s="34">
        <v>23.33</v>
      </c>
      <c r="P17" s="6">
        <v>324</v>
      </c>
      <c r="Q17" s="36">
        <v>31.6</v>
      </c>
      <c r="R17" s="6">
        <v>7.47</v>
      </c>
      <c r="S17" s="36">
        <v>1094.9</v>
      </c>
      <c r="T17" s="6">
        <v>1119</v>
      </c>
      <c r="U17" s="37">
        <v>39.45</v>
      </c>
      <c r="V17" s="6">
        <v>1242</v>
      </c>
      <c r="W17" s="37">
        <v>-45.48</v>
      </c>
      <c r="X17" s="6">
        <v>32</v>
      </c>
      <c r="Y17" s="35">
        <v>2.052</v>
      </c>
    </row>
    <row r="18" spans="1:25" ht="12.75">
      <c r="A18" s="6">
        <v>2023</v>
      </c>
      <c r="B18" s="53">
        <v>44941</v>
      </c>
      <c r="C18" s="37">
        <v>31.28</v>
      </c>
      <c r="D18" s="6">
        <v>1604</v>
      </c>
      <c r="E18" s="37">
        <v>21.22</v>
      </c>
      <c r="F18" s="6">
        <v>514</v>
      </c>
      <c r="G18" s="37">
        <v>25.44</v>
      </c>
      <c r="H18" s="37">
        <v>96.21</v>
      </c>
      <c r="I18" s="6">
        <v>508</v>
      </c>
      <c r="J18" s="37">
        <v>49.92</v>
      </c>
      <c r="K18" s="6">
        <v>1617</v>
      </c>
      <c r="L18" s="37">
        <v>82.31</v>
      </c>
      <c r="M18" s="38">
        <v>0</v>
      </c>
      <c r="N18" s="34">
        <v>1.65</v>
      </c>
      <c r="O18" s="34">
        <v>23.01</v>
      </c>
      <c r="P18" s="6">
        <v>1414</v>
      </c>
      <c r="Q18" s="36">
        <v>5.6</v>
      </c>
      <c r="R18" s="37">
        <v>7.79</v>
      </c>
      <c r="S18" s="36">
        <v>1144.8</v>
      </c>
      <c r="T18" s="6">
        <v>1224</v>
      </c>
      <c r="U18" s="37">
        <v>32.73</v>
      </c>
      <c r="V18" s="6">
        <v>1353</v>
      </c>
      <c r="W18" s="37">
        <v>-43.42</v>
      </c>
      <c r="X18" s="6">
        <v>215</v>
      </c>
      <c r="Y18" s="35">
        <v>2.658</v>
      </c>
    </row>
    <row r="19" spans="1:25" ht="12.75">
      <c r="A19" s="6">
        <v>2023</v>
      </c>
      <c r="B19" s="53">
        <v>44942</v>
      </c>
      <c r="C19" s="37">
        <v>32.72</v>
      </c>
      <c r="D19" s="6">
        <v>1339</v>
      </c>
      <c r="E19" s="37">
        <v>21.5</v>
      </c>
      <c r="F19" s="6">
        <v>559</v>
      </c>
      <c r="G19" s="37">
        <v>25.28</v>
      </c>
      <c r="H19" s="37">
        <v>97.46</v>
      </c>
      <c r="I19" s="6">
        <v>548</v>
      </c>
      <c r="J19" s="37">
        <v>51.17</v>
      </c>
      <c r="K19" s="6">
        <v>1356</v>
      </c>
      <c r="L19" s="37">
        <v>82.04</v>
      </c>
      <c r="M19" s="38">
        <v>0</v>
      </c>
      <c r="N19" s="34">
        <v>1.61</v>
      </c>
      <c r="O19" s="34">
        <v>27.68</v>
      </c>
      <c r="P19" s="6">
        <v>2029</v>
      </c>
      <c r="Q19" s="36">
        <v>136.9</v>
      </c>
      <c r="R19" s="6">
        <v>8.03</v>
      </c>
      <c r="S19" s="36">
        <v>1229</v>
      </c>
      <c r="T19" s="6">
        <v>1319</v>
      </c>
      <c r="U19" s="37">
        <v>25.48</v>
      </c>
      <c r="V19" s="6">
        <v>1248</v>
      </c>
      <c r="W19" s="37">
        <v>-39.06</v>
      </c>
      <c r="X19" s="6">
        <v>332</v>
      </c>
      <c r="Y19" s="35">
        <v>2.112</v>
      </c>
    </row>
    <row r="20" spans="1:25" ht="12.75">
      <c r="A20" s="6">
        <v>2023</v>
      </c>
      <c r="B20" s="53">
        <v>44943</v>
      </c>
      <c r="C20" s="37">
        <v>32.89</v>
      </c>
      <c r="D20" s="6">
        <v>1704</v>
      </c>
      <c r="E20" s="37">
        <v>20.61</v>
      </c>
      <c r="F20" s="6">
        <v>556</v>
      </c>
      <c r="G20" s="37">
        <v>25.44</v>
      </c>
      <c r="H20" s="37">
        <v>95.84</v>
      </c>
      <c r="I20" s="6">
        <v>539</v>
      </c>
      <c r="J20" s="37">
        <v>45.28</v>
      </c>
      <c r="K20" s="6">
        <v>1654</v>
      </c>
      <c r="L20" s="37">
        <v>75.11</v>
      </c>
      <c r="M20" s="6">
        <v>1.2</v>
      </c>
      <c r="N20" s="34">
        <v>2.32</v>
      </c>
      <c r="O20" s="34">
        <v>28.8</v>
      </c>
      <c r="P20" s="6">
        <v>1844</v>
      </c>
      <c r="Q20" s="36">
        <v>172.7</v>
      </c>
      <c r="R20" s="37">
        <v>8.12</v>
      </c>
      <c r="S20" s="36">
        <v>1048.1</v>
      </c>
      <c r="T20" s="6">
        <v>1314</v>
      </c>
      <c r="U20" s="37">
        <v>25.94</v>
      </c>
      <c r="V20" s="6">
        <v>1354</v>
      </c>
      <c r="W20" s="37">
        <v>-51.93</v>
      </c>
      <c r="X20" s="6">
        <v>1633</v>
      </c>
      <c r="Y20" s="35">
        <v>2.096</v>
      </c>
    </row>
    <row r="21" spans="1:25" ht="12.75">
      <c r="A21" s="6">
        <v>2023</v>
      </c>
      <c r="B21" s="53">
        <v>44944</v>
      </c>
      <c r="C21" s="37">
        <v>31.25</v>
      </c>
      <c r="D21" s="6">
        <v>1334</v>
      </c>
      <c r="E21" s="37">
        <v>20.79</v>
      </c>
      <c r="F21" s="6">
        <v>604</v>
      </c>
      <c r="G21" s="37">
        <v>25.23</v>
      </c>
      <c r="H21" s="37">
        <v>93.12</v>
      </c>
      <c r="I21" s="6">
        <v>558</v>
      </c>
      <c r="J21" s="37">
        <v>50.93</v>
      </c>
      <c r="K21" s="6">
        <v>1349</v>
      </c>
      <c r="L21" s="37">
        <v>76.87</v>
      </c>
      <c r="M21" s="6">
        <v>0</v>
      </c>
      <c r="N21" s="34">
        <v>2.19</v>
      </c>
      <c r="O21" s="34">
        <v>21.24</v>
      </c>
      <c r="P21" s="6">
        <v>1124</v>
      </c>
      <c r="Q21" s="36">
        <v>141.8</v>
      </c>
      <c r="R21" s="37">
        <v>7.87</v>
      </c>
      <c r="S21" s="36">
        <v>1171.3</v>
      </c>
      <c r="T21" s="6">
        <v>1404</v>
      </c>
      <c r="U21" s="37">
        <v>29.74</v>
      </c>
      <c r="V21" s="6">
        <v>1305</v>
      </c>
      <c r="W21" s="37">
        <v>-41.5</v>
      </c>
      <c r="X21" s="6">
        <v>325</v>
      </c>
      <c r="Y21" s="35">
        <v>2.31</v>
      </c>
    </row>
    <row r="22" spans="1:25" ht="12.75">
      <c r="A22" s="6">
        <v>2023</v>
      </c>
      <c r="B22" s="53">
        <v>44945</v>
      </c>
      <c r="C22" s="37">
        <v>31.22</v>
      </c>
      <c r="D22" s="6">
        <v>1429</v>
      </c>
      <c r="E22" s="37">
        <v>19.89</v>
      </c>
      <c r="F22" s="6">
        <v>324</v>
      </c>
      <c r="G22" s="37">
        <v>24.31</v>
      </c>
      <c r="H22" s="37">
        <v>98.64</v>
      </c>
      <c r="I22" s="6">
        <v>402</v>
      </c>
      <c r="J22" s="37">
        <v>52.17</v>
      </c>
      <c r="K22" s="6">
        <v>1453</v>
      </c>
      <c r="L22" s="37">
        <v>80.03</v>
      </c>
      <c r="M22" s="36">
        <v>15.5</v>
      </c>
      <c r="N22" s="34">
        <v>2.37</v>
      </c>
      <c r="O22" s="34">
        <v>30.26</v>
      </c>
      <c r="P22" s="6">
        <v>1624</v>
      </c>
      <c r="Q22" s="36">
        <v>149.3</v>
      </c>
      <c r="R22" s="37">
        <v>7.91</v>
      </c>
      <c r="S22" s="36">
        <v>1133.1</v>
      </c>
      <c r="T22" s="6">
        <v>1149</v>
      </c>
      <c r="U22" s="37">
        <v>19.72</v>
      </c>
      <c r="V22" s="6">
        <v>1420</v>
      </c>
      <c r="W22" s="37">
        <v>-40.67</v>
      </c>
      <c r="X22" s="6">
        <v>358</v>
      </c>
      <c r="Y22" s="35">
        <v>2.362</v>
      </c>
    </row>
    <row r="23" spans="1:25" ht="12.75">
      <c r="A23" s="6">
        <v>2023</v>
      </c>
      <c r="B23" s="53">
        <v>44946</v>
      </c>
      <c r="C23" s="37">
        <v>28.5</v>
      </c>
      <c r="D23" s="6">
        <v>1519</v>
      </c>
      <c r="E23" s="37">
        <v>19.79</v>
      </c>
      <c r="F23" s="6">
        <v>509</v>
      </c>
      <c r="G23" s="37">
        <v>22.89</v>
      </c>
      <c r="H23" s="37">
        <v>98.16</v>
      </c>
      <c r="I23" s="6">
        <v>511</v>
      </c>
      <c r="J23" s="37">
        <v>64.24</v>
      </c>
      <c r="K23" s="6">
        <v>1534</v>
      </c>
      <c r="L23" s="37">
        <v>87.94</v>
      </c>
      <c r="M23" s="6">
        <v>26.9</v>
      </c>
      <c r="N23" s="34">
        <v>2.32</v>
      </c>
      <c r="O23" s="34">
        <v>28.81</v>
      </c>
      <c r="P23" s="6">
        <v>1939</v>
      </c>
      <c r="Q23" s="36">
        <v>7.4</v>
      </c>
      <c r="R23" s="37">
        <v>6.88</v>
      </c>
      <c r="S23" s="36">
        <v>1583.4</v>
      </c>
      <c r="T23" s="6">
        <v>844</v>
      </c>
      <c r="U23" s="37">
        <v>24.36</v>
      </c>
      <c r="V23" s="6">
        <v>1342</v>
      </c>
      <c r="W23" s="6">
        <v>-178.9</v>
      </c>
      <c r="X23" s="6">
        <v>334</v>
      </c>
      <c r="Y23" s="35">
        <v>1.818</v>
      </c>
    </row>
    <row r="24" spans="1:25" ht="12.75">
      <c r="A24" s="6">
        <v>2023</v>
      </c>
      <c r="B24" s="53">
        <v>44947</v>
      </c>
      <c r="C24" s="6">
        <v>25.53</v>
      </c>
      <c r="D24" s="6">
        <v>1156</v>
      </c>
      <c r="E24" s="37">
        <v>19.22</v>
      </c>
      <c r="F24" s="6">
        <v>544</v>
      </c>
      <c r="G24" s="37">
        <v>20.45</v>
      </c>
      <c r="H24" s="37">
        <v>98.82</v>
      </c>
      <c r="I24" s="6">
        <v>539</v>
      </c>
      <c r="J24" s="37">
        <v>78.95</v>
      </c>
      <c r="K24" s="6">
        <v>1213</v>
      </c>
      <c r="L24" s="37">
        <v>97.89</v>
      </c>
      <c r="M24" s="6">
        <v>9.9</v>
      </c>
      <c r="N24" s="34">
        <v>2.01</v>
      </c>
      <c r="O24" s="34">
        <v>28</v>
      </c>
      <c r="P24" s="6">
        <v>1514</v>
      </c>
      <c r="Q24" s="36">
        <v>36.2</v>
      </c>
      <c r="R24" s="37">
        <v>5.71</v>
      </c>
      <c r="S24" s="36">
        <v>975.6</v>
      </c>
      <c r="T24" s="6">
        <v>949</v>
      </c>
      <c r="U24" s="37">
        <v>25.08</v>
      </c>
      <c r="V24" s="6">
        <v>1346</v>
      </c>
      <c r="W24" s="37">
        <v>-37.05</v>
      </c>
      <c r="X24" s="6">
        <v>2357</v>
      </c>
      <c r="Y24" s="35">
        <v>1.486</v>
      </c>
    </row>
    <row r="25" spans="1:25" ht="12.75">
      <c r="A25" s="6">
        <v>2023</v>
      </c>
      <c r="B25" s="53">
        <v>44948</v>
      </c>
      <c r="C25" s="37">
        <v>31.89</v>
      </c>
      <c r="D25" s="6">
        <v>1550</v>
      </c>
      <c r="E25" s="37">
        <v>20.61</v>
      </c>
      <c r="F25" s="6">
        <v>512</v>
      </c>
      <c r="G25" s="37">
        <v>25.22</v>
      </c>
      <c r="H25" s="37">
        <v>97.05</v>
      </c>
      <c r="I25" s="6">
        <v>458</v>
      </c>
      <c r="J25" s="37">
        <v>52.11</v>
      </c>
      <c r="K25" s="6">
        <v>1609</v>
      </c>
      <c r="L25" s="37">
        <v>77.96</v>
      </c>
      <c r="M25" s="36">
        <v>0.7</v>
      </c>
      <c r="N25" s="34">
        <v>0.8</v>
      </c>
      <c r="O25" s="34">
        <v>10.33</v>
      </c>
      <c r="P25" s="6">
        <v>2215</v>
      </c>
      <c r="Q25" s="36">
        <v>43.7</v>
      </c>
      <c r="R25" s="37">
        <v>7.29</v>
      </c>
      <c r="S25" s="36">
        <v>1105.8</v>
      </c>
      <c r="T25" s="6">
        <v>1341</v>
      </c>
      <c r="U25" s="6">
        <v>31.83</v>
      </c>
      <c r="V25" s="6">
        <v>1237</v>
      </c>
      <c r="W25" s="37">
        <v>-44.1</v>
      </c>
      <c r="X25" s="6">
        <v>520</v>
      </c>
      <c r="Y25" s="35">
        <v>2.134</v>
      </c>
    </row>
    <row r="26" spans="1:25" ht="12.75">
      <c r="A26" s="6">
        <v>2023</v>
      </c>
      <c r="B26" s="53">
        <v>44949</v>
      </c>
      <c r="C26" s="6">
        <v>32.47</v>
      </c>
      <c r="D26" s="6">
        <v>1454</v>
      </c>
      <c r="E26" s="37">
        <v>20.28</v>
      </c>
      <c r="F26" s="6">
        <v>548</v>
      </c>
      <c r="G26" s="37">
        <v>26.56</v>
      </c>
      <c r="H26" s="37">
        <v>98.34</v>
      </c>
      <c r="I26" s="6">
        <v>531</v>
      </c>
      <c r="J26" s="37">
        <v>53.24</v>
      </c>
      <c r="K26" s="6">
        <v>1517</v>
      </c>
      <c r="L26" s="37">
        <v>74.13</v>
      </c>
      <c r="M26" s="36">
        <v>38.2</v>
      </c>
      <c r="N26" s="34">
        <v>0.67</v>
      </c>
      <c r="O26" s="34">
        <v>12.23</v>
      </c>
      <c r="P26" s="6">
        <v>1609</v>
      </c>
      <c r="Q26" s="36">
        <v>62.4</v>
      </c>
      <c r="R26" s="37">
        <v>7.71</v>
      </c>
      <c r="S26" s="36">
        <v>1313.5</v>
      </c>
      <c r="T26" s="6">
        <v>1204</v>
      </c>
      <c r="U26" s="37">
        <v>19.68</v>
      </c>
      <c r="V26" s="6">
        <v>1223</v>
      </c>
      <c r="W26" s="37">
        <v>-24.89</v>
      </c>
      <c r="X26" s="6">
        <v>36</v>
      </c>
      <c r="Y26" s="35">
        <v>1.97</v>
      </c>
    </row>
    <row r="27" spans="1:25" ht="12.75">
      <c r="A27" s="6">
        <v>2023</v>
      </c>
      <c r="B27" s="53">
        <v>44950</v>
      </c>
      <c r="C27" s="6">
        <v>32.72</v>
      </c>
      <c r="D27" s="6">
        <v>1534</v>
      </c>
      <c r="E27" s="37">
        <v>20.61</v>
      </c>
      <c r="F27" s="6">
        <v>508</v>
      </c>
      <c r="G27" s="37">
        <v>24.94</v>
      </c>
      <c r="H27" s="37">
        <v>96.89</v>
      </c>
      <c r="I27" s="6">
        <v>516</v>
      </c>
      <c r="J27" s="37">
        <v>52.29</v>
      </c>
      <c r="K27" s="6">
        <v>1549</v>
      </c>
      <c r="L27" s="37">
        <v>81.96</v>
      </c>
      <c r="M27" s="36">
        <v>3.1</v>
      </c>
      <c r="N27" s="34">
        <v>0.54</v>
      </c>
      <c r="O27" s="34">
        <v>10.78</v>
      </c>
      <c r="P27" s="6">
        <v>854</v>
      </c>
      <c r="Q27" s="36">
        <v>63.7</v>
      </c>
      <c r="R27" s="37">
        <v>7.94</v>
      </c>
      <c r="S27" s="36">
        <v>1340.4</v>
      </c>
      <c r="T27" s="6">
        <v>1109</v>
      </c>
      <c r="U27" s="37">
        <v>38.43</v>
      </c>
      <c r="V27" s="6">
        <v>1306</v>
      </c>
      <c r="W27" s="37">
        <v>-35.46</v>
      </c>
      <c r="X27" s="6">
        <v>303</v>
      </c>
      <c r="Y27" s="35">
        <v>2.443</v>
      </c>
    </row>
    <row r="28" spans="1:25" ht="12.75">
      <c r="A28" s="6">
        <v>2023</v>
      </c>
      <c r="B28" s="53">
        <v>44951</v>
      </c>
      <c r="C28" s="6">
        <v>34.11</v>
      </c>
      <c r="D28" s="6">
        <v>1554</v>
      </c>
      <c r="E28" s="37">
        <v>20.03</v>
      </c>
      <c r="F28" s="6">
        <v>554</v>
      </c>
      <c r="G28" s="37">
        <v>26.78</v>
      </c>
      <c r="H28" s="37">
        <v>96.94</v>
      </c>
      <c r="I28" s="6">
        <v>548</v>
      </c>
      <c r="J28" s="37">
        <v>35.46</v>
      </c>
      <c r="K28" s="6">
        <v>1612</v>
      </c>
      <c r="L28" s="37">
        <v>68.15</v>
      </c>
      <c r="M28" s="6">
        <v>4.2</v>
      </c>
      <c r="N28" s="34">
        <v>0.76</v>
      </c>
      <c r="O28" s="34">
        <v>11.1</v>
      </c>
      <c r="P28" s="6">
        <v>1309</v>
      </c>
      <c r="Q28" s="36">
        <v>127.3</v>
      </c>
      <c r="R28" s="37">
        <v>8.01</v>
      </c>
      <c r="S28" s="36">
        <v>1098.3</v>
      </c>
      <c r="T28" s="6">
        <v>1149</v>
      </c>
      <c r="U28" s="6">
        <v>39.01</v>
      </c>
      <c r="V28" s="6">
        <v>1425</v>
      </c>
      <c r="W28" s="37">
        <v>-34.21</v>
      </c>
      <c r="X28" s="6">
        <v>243</v>
      </c>
      <c r="Y28" s="6">
        <v>2.728</v>
      </c>
    </row>
    <row r="29" spans="1:25" ht="12.75">
      <c r="A29" s="6">
        <v>2023</v>
      </c>
      <c r="B29" s="53">
        <v>44952</v>
      </c>
      <c r="C29" s="37">
        <v>32.39</v>
      </c>
      <c r="D29" s="6">
        <v>1559</v>
      </c>
      <c r="E29" s="37">
        <v>20.5</v>
      </c>
      <c r="F29" s="6">
        <v>539</v>
      </c>
      <c r="G29" s="37">
        <v>26.17</v>
      </c>
      <c r="H29" s="37">
        <v>91.77</v>
      </c>
      <c r="I29" s="6">
        <v>526</v>
      </c>
      <c r="J29" s="37">
        <v>47.18</v>
      </c>
      <c r="K29" s="6">
        <v>1605</v>
      </c>
      <c r="L29" s="37">
        <v>72.85</v>
      </c>
      <c r="M29" s="6">
        <v>0</v>
      </c>
      <c r="N29" s="34">
        <v>1.52</v>
      </c>
      <c r="O29" s="34">
        <v>22.37</v>
      </c>
      <c r="P29" s="6">
        <v>1059</v>
      </c>
      <c r="Q29" s="43">
        <v>142.6</v>
      </c>
      <c r="R29" s="37">
        <v>7.93</v>
      </c>
      <c r="S29" s="36">
        <v>1080.6</v>
      </c>
      <c r="T29" s="6">
        <v>1244</v>
      </c>
      <c r="U29" s="37">
        <v>62.91</v>
      </c>
      <c r="V29" s="6">
        <v>1428</v>
      </c>
      <c r="W29" s="37">
        <v>-44.2</v>
      </c>
      <c r="X29" s="6">
        <v>2305</v>
      </c>
      <c r="Y29" s="35">
        <v>3.398</v>
      </c>
    </row>
    <row r="30" spans="1:25" ht="12.75">
      <c r="A30" s="6">
        <v>2023</v>
      </c>
      <c r="B30" s="53">
        <v>44953</v>
      </c>
      <c r="C30" s="6">
        <v>32.11</v>
      </c>
      <c r="D30" s="6">
        <v>1534</v>
      </c>
      <c r="E30" s="37">
        <v>20.34</v>
      </c>
      <c r="F30" s="6">
        <v>2348</v>
      </c>
      <c r="G30" s="37">
        <v>25.93</v>
      </c>
      <c r="H30" s="37">
        <v>97.2</v>
      </c>
      <c r="I30" s="6">
        <v>2250</v>
      </c>
      <c r="J30" s="37">
        <v>46.37</v>
      </c>
      <c r="K30" s="6">
        <v>1717</v>
      </c>
      <c r="L30" s="37">
        <v>75.2</v>
      </c>
      <c r="M30" s="36">
        <v>3.9</v>
      </c>
      <c r="N30" s="34">
        <v>0.987</v>
      </c>
      <c r="O30" s="34">
        <f>8.37*3.6</f>
        <v>30.131999999999998</v>
      </c>
      <c r="P30" s="6">
        <v>1802</v>
      </c>
      <c r="Q30" s="36">
        <v>70.6</v>
      </c>
      <c r="R30" s="37">
        <v>3.071</v>
      </c>
      <c r="S30" s="36">
        <v>856</v>
      </c>
      <c r="T30" s="6">
        <v>1357</v>
      </c>
      <c r="U30" s="37">
        <v>37.71</v>
      </c>
      <c r="V30" s="6">
        <v>1428</v>
      </c>
      <c r="W30" s="37">
        <v>-54.63</v>
      </c>
      <c r="X30" s="6">
        <v>2018</v>
      </c>
      <c r="Y30" s="35">
        <v>3.812</v>
      </c>
    </row>
    <row r="31" spans="1:25" ht="12.75">
      <c r="A31" s="6">
        <v>2023</v>
      </c>
      <c r="B31" s="53">
        <v>44954</v>
      </c>
      <c r="C31" s="37">
        <v>29.09</v>
      </c>
      <c r="D31" s="6">
        <v>1432</v>
      </c>
      <c r="E31" s="37">
        <v>20.02</v>
      </c>
      <c r="F31" s="6">
        <v>632</v>
      </c>
      <c r="G31" s="6">
        <v>23.16</v>
      </c>
      <c r="H31" s="37">
        <v>99.2</v>
      </c>
      <c r="I31" s="6">
        <v>647</v>
      </c>
      <c r="J31" s="37">
        <v>57.21</v>
      </c>
      <c r="K31" s="6">
        <v>1433</v>
      </c>
      <c r="L31" s="37">
        <v>88.6</v>
      </c>
      <c r="M31" s="6">
        <v>14.3</v>
      </c>
      <c r="N31" s="34">
        <v>0.669</v>
      </c>
      <c r="O31" s="63">
        <f>6.275*3.6</f>
        <v>22.590000000000003</v>
      </c>
      <c r="P31" s="6">
        <v>828</v>
      </c>
      <c r="Q31" s="36">
        <v>22.25</v>
      </c>
      <c r="R31" s="37">
        <v>5.214</v>
      </c>
      <c r="S31" s="36">
        <v>934</v>
      </c>
      <c r="T31" s="6">
        <v>1345</v>
      </c>
      <c r="U31" s="37">
        <v>40.76</v>
      </c>
      <c r="V31" s="6">
        <v>1440</v>
      </c>
      <c r="W31" s="37">
        <v>-59.5</v>
      </c>
      <c r="X31" s="6">
        <v>623</v>
      </c>
      <c r="Y31" s="35">
        <v>1.086</v>
      </c>
    </row>
    <row r="32" spans="1:25" ht="12.75">
      <c r="A32" s="6">
        <v>2023</v>
      </c>
      <c r="B32" s="53">
        <v>44955</v>
      </c>
      <c r="C32" s="37">
        <v>28.09</v>
      </c>
      <c r="D32" s="6">
        <v>1227</v>
      </c>
      <c r="E32" s="37">
        <v>19.03</v>
      </c>
      <c r="F32" s="6">
        <v>2353</v>
      </c>
      <c r="G32" s="37">
        <v>21.92</v>
      </c>
      <c r="H32" s="37">
        <v>98.5</v>
      </c>
      <c r="I32" s="6">
        <v>1946</v>
      </c>
      <c r="J32" s="37">
        <v>61.92</v>
      </c>
      <c r="K32" s="6">
        <v>1213</v>
      </c>
      <c r="L32" s="37">
        <v>89.6</v>
      </c>
      <c r="M32" s="6">
        <v>30.1</v>
      </c>
      <c r="N32" s="34">
        <v>0.88</v>
      </c>
      <c r="O32" s="63">
        <v>13.7</v>
      </c>
      <c r="P32" s="6">
        <v>1408</v>
      </c>
      <c r="Q32" s="36">
        <v>247.4</v>
      </c>
      <c r="R32" s="37">
        <v>4.613</v>
      </c>
      <c r="S32" s="36">
        <v>1062</v>
      </c>
      <c r="T32" s="6">
        <v>1105</v>
      </c>
      <c r="U32" s="37">
        <v>36.65</v>
      </c>
      <c r="V32" s="38">
        <v>1237</v>
      </c>
      <c r="W32" s="37">
        <v>-98.5</v>
      </c>
      <c r="X32" s="6">
        <v>1424</v>
      </c>
      <c r="Y32" s="35">
        <v>0.95</v>
      </c>
    </row>
    <row r="33" spans="1:25" ht="12.75">
      <c r="A33" s="6">
        <v>2023</v>
      </c>
      <c r="B33" s="53">
        <v>44956</v>
      </c>
      <c r="C33" s="37">
        <v>28.56</v>
      </c>
      <c r="D33" s="6">
        <v>1722</v>
      </c>
      <c r="E33" s="37">
        <v>18.63</v>
      </c>
      <c r="F33" s="6">
        <v>159</v>
      </c>
      <c r="G33" s="37">
        <v>22.03</v>
      </c>
      <c r="H33" s="37">
        <v>99.5</v>
      </c>
      <c r="I33" s="6">
        <v>311</v>
      </c>
      <c r="J33" s="37">
        <v>58.87</v>
      </c>
      <c r="K33" s="6">
        <v>1705</v>
      </c>
      <c r="L33" s="37">
        <v>86.2</v>
      </c>
      <c r="M33" s="36">
        <v>0.9</v>
      </c>
      <c r="N33" s="34">
        <v>0.688</v>
      </c>
      <c r="O33" s="63">
        <f>5.825*3.6</f>
        <v>20.970000000000002</v>
      </c>
      <c r="P33" s="6">
        <v>1413</v>
      </c>
      <c r="Q33" s="6">
        <v>213.2</v>
      </c>
      <c r="R33" s="37">
        <v>6.793</v>
      </c>
      <c r="S33" s="36">
        <v>981</v>
      </c>
      <c r="T33" s="6">
        <v>1319</v>
      </c>
      <c r="U33" s="37">
        <v>55.77</v>
      </c>
      <c r="V33" s="38">
        <v>1329</v>
      </c>
      <c r="W33" s="37">
        <v>-89.4</v>
      </c>
      <c r="X33" s="6">
        <v>2045</v>
      </c>
      <c r="Y33" s="35">
        <v>1.361</v>
      </c>
    </row>
    <row r="34" spans="1:25" ht="12.75">
      <c r="A34" s="6">
        <v>2023</v>
      </c>
      <c r="B34" s="53">
        <v>44957</v>
      </c>
      <c r="C34" s="6">
        <v>31.39</v>
      </c>
      <c r="D34" s="6">
        <v>1500</v>
      </c>
      <c r="E34" s="6">
        <v>18.17</v>
      </c>
      <c r="F34" s="6">
        <v>528</v>
      </c>
      <c r="G34" s="37">
        <v>22.7</v>
      </c>
      <c r="H34" s="37">
        <v>93.2</v>
      </c>
      <c r="I34" s="6">
        <v>801</v>
      </c>
      <c r="J34" s="37">
        <v>43.72</v>
      </c>
      <c r="K34" s="6">
        <v>1415</v>
      </c>
      <c r="L34" s="37">
        <v>80.7</v>
      </c>
      <c r="M34" s="36">
        <v>26.3</v>
      </c>
      <c r="N34" s="34">
        <v>0.746</v>
      </c>
      <c r="O34" s="34">
        <f>7.02*3.6</f>
        <v>25.272</v>
      </c>
      <c r="P34" s="6">
        <v>1614</v>
      </c>
      <c r="Q34" s="36">
        <v>297.5</v>
      </c>
      <c r="R34" s="37">
        <v>8.44</v>
      </c>
      <c r="S34" s="36">
        <v>1008</v>
      </c>
      <c r="T34" s="6">
        <v>1317</v>
      </c>
      <c r="U34" s="37">
        <v>57.47</v>
      </c>
      <c r="V34" s="6">
        <v>1329</v>
      </c>
      <c r="W34" s="37">
        <v>-107.3</v>
      </c>
      <c r="X34" s="6">
        <v>1752</v>
      </c>
      <c r="Y34" s="39">
        <v>1.881</v>
      </c>
    </row>
    <row r="35" spans="3:25" ht="12.75">
      <c r="C35" s="40">
        <f>AVERAGE(C4:C34)</f>
        <v>29.444838709677423</v>
      </c>
      <c r="D35" s="33"/>
      <c r="E35" s="40">
        <f>AVERAGE(E4:E34)</f>
        <v>19.756129032258062</v>
      </c>
      <c r="F35" s="33"/>
      <c r="G35" s="40">
        <f>AVERAGE(G4:G34)</f>
        <v>23.50903225806451</v>
      </c>
      <c r="H35" s="40">
        <f>AVERAGE(H4:H34)</f>
        <v>97.80451612903227</v>
      </c>
      <c r="I35" s="33"/>
      <c r="J35" s="40">
        <f>AVERAGE(J4:J34)</f>
        <v>60.45516129032258</v>
      </c>
      <c r="K35" s="33"/>
      <c r="L35" s="40">
        <f>AVERAGE(L4:L34)</f>
        <v>85.27903225806449</v>
      </c>
      <c r="M35" s="41">
        <f>SUM(M4:M34)</f>
        <v>340.3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41">
        <f>SUM(Y4:Y34)</f>
        <v>57.05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scale="64" r:id="rId1"/>
  <headerFooter alignWithMargins="0">
    <oddHeader>&amp;C&amp;"Arial,Negrito"POSTO METEOROLÓGICO - ESTAÇÃO EXPERIMENTAL DE CITRICULTURA DE BEBEDOURO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="75" zoomScaleSheetLayoutView="75" zoomScalePageLayoutView="0" workbookViewId="0" topLeftCell="B2">
      <selection activeCell="U18" sqref="U18:Y18"/>
    </sheetView>
  </sheetViews>
  <sheetFormatPr defaultColWidth="9.140625" defaultRowHeight="12.75"/>
  <cols>
    <col min="1" max="1" width="7.281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28125" style="0" customWidth="1"/>
    <col min="13" max="13" width="8.421875" style="0" customWidth="1"/>
    <col min="16" max="17" width="7.7109375" style="0" customWidth="1"/>
    <col min="22" max="22" width="7.7109375" style="0" customWidth="1"/>
    <col min="24" max="24" width="7.7109375" style="0" customWidth="1"/>
    <col min="25" max="25" width="7.57421875" style="0" customWidth="1"/>
  </cols>
  <sheetData>
    <row r="1" spans="1:3" ht="12.75">
      <c r="A1" s="70">
        <v>43132</v>
      </c>
      <c r="B1" s="70"/>
      <c r="C1" s="8">
        <v>1</v>
      </c>
    </row>
    <row r="2" spans="1:25" ht="42.75" customHeight="1">
      <c r="A2" s="71" t="s">
        <v>12</v>
      </c>
      <c r="B2" s="71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60" t="s">
        <v>24</v>
      </c>
      <c r="P2" s="9" t="s">
        <v>15</v>
      </c>
      <c r="Q2" s="9" t="s">
        <v>35</v>
      </c>
      <c r="R2" s="10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72"/>
      <c r="B3" s="72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6" ht="12.75">
      <c r="A4" s="6">
        <v>2023</v>
      </c>
      <c r="B4" s="53">
        <v>44958</v>
      </c>
      <c r="C4" s="37">
        <v>30.4</v>
      </c>
      <c r="D4" s="6">
        <v>1253</v>
      </c>
      <c r="E4" s="37">
        <v>19.96</v>
      </c>
      <c r="F4" s="6">
        <v>529</v>
      </c>
      <c r="G4" s="37">
        <v>22.86</v>
      </c>
      <c r="H4" s="37">
        <v>98.4</v>
      </c>
      <c r="I4" s="6">
        <v>2354</v>
      </c>
      <c r="J4" s="37">
        <v>49.11</v>
      </c>
      <c r="K4" s="6">
        <v>1423</v>
      </c>
      <c r="L4" s="37">
        <v>83.5</v>
      </c>
      <c r="M4" s="36">
        <v>0.9</v>
      </c>
      <c r="N4" s="37">
        <v>1.123</v>
      </c>
      <c r="O4" s="37">
        <f>5.075*3.6</f>
        <v>18.27</v>
      </c>
      <c r="P4" s="6">
        <v>1513</v>
      </c>
      <c r="Q4" s="36">
        <v>256</v>
      </c>
      <c r="R4" s="37">
        <v>6.286</v>
      </c>
      <c r="S4" s="36">
        <v>1064</v>
      </c>
      <c r="T4" s="6">
        <v>1247</v>
      </c>
      <c r="U4" s="37">
        <v>56.05</v>
      </c>
      <c r="V4" s="6">
        <v>1259</v>
      </c>
      <c r="W4" s="37">
        <v>-46.28</v>
      </c>
      <c r="X4" s="6">
        <v>2052</v>
      </c>
      <c r="Y4" s="39">
        <v>1.359</v>
      </c>
      <c r="Z4" s="31"/>
    </row>
    <row r="5" spans="1:25" ht="12.75">
      <c r="A5" s="6">
        <v>2023</v>
      </c>
      <c r="B5" s="53">
        <v>44959</v>
      </c>
      <c r="C5" s="6">
        <v>30.47</v>
      </c>
      <c r="D5" s="6">
        <v>1406</v>
      </c>
      <c r="E5" s="6">
        <v>20.15</v>
      </c>
      <c r="F5" s="6">
        <v>1704</v>
      </c>
      <c r="G5" s="37">
        <v>22.57</v>
      </c>
      <c r="H5" s="54">
        <v>91.9</v>
      </c>
      <c r="I5" s="6">
        <v>121</v>
      </c>
      <c r="J5" s="6">
        <v>45.45</v>
      </c>
      <c r="K5" s="37">
        <v>14.2</v>
      </c>
      <c r="L5" s="37">
        <v>88</v>
      </c>
      <c r="M5" s="6">
        <v>35.3</v>
      </c>
      <c r="N5" s="37">
        <v>1.057</v>
      </c>
      <c r="O5" s="54">
        <f>6.725*3.6</f>
        <v>24.21</v>
      </c>
      <c r="P5" s="6">
        <v>1440</v>
      </c>
      <c r="Q5" s="44">
        <v>4.994</v>
      </c>
      <c r="R5" s="6">
        <v>5.38</v>
      </c>
      <c r="S5" s="36">
        <v>936</v>
      </c>
      <c r="T5" s="6">
        <v>1402</v>
      </c>
      <c r="U5" s="37">
        <v>51.45</v>
      </c>
      <c r="V5" s="6">
        <v>1356</v>
      </c>
      <c r="W5" s="37">
        <v>-74.6</v>
      </c>
      <c r="X5" s="6">
        <v>1551</v>
      </c>
      <c r="Y5" s="35">
        <v>1.272</v>
      </c>
    </row>
    <row r="6" spans="1:25" ht="12.75">
      <c r="A6" s="6">
        <v>2023</v>
      </c>
      <c r="B6" s="53">
        <v>44960</v>
      </c>
      <c r="C6" s="37">
        <v>31.4</v>
      </c>
      <c r="D6" s="6">
        <v>1557</v>
      </c>
      <c r="E6" s="37">
        <v>19.83</v>
      </c>
      <c r="F6" s="6">
        <v>2150</v>
      </c>
      <c r="G6" s="37">
        <v>23.24</v>
      </c>
      <c r="H6" s="54">
        <v>89.2</v>
      </c>
      <c r="I6" s="6">
        <v>53</v>
      </c>
      <c r="J6" s="37">
        <v>37.49</v>
      </c>
      <c r="K6" s="6">
        <v>1624</v>
      </c>
      <c r="L6" s="37">
        <v>75.1</v>
      </c>
      <c r="M6" s="6">
        <v>8.8</v>
      </c>
      <c r="N6" s="37">
        <v>1.736</v>
      </c>
      <c r="O6" s="54">
        <f>8.9*3.6</f>
        <v>32.04</v>
      </c>
      <c r="P6" s="38">
        <v>2041</v>
      </c>
      <c r="Q6" s="46">
        <v>248.3</v>
      </c>
      <c r="R6" s="37">
        <v>8.52</v>
      </c>
      <c r="S6" s="36">
        <v>887</v>
      </c>
      <c r="T6" s="6">
        <v>1340</v>
      </c>
      <c r="U6" s="37">
        <v>57.64</v>
      </c>
      <c r="V6" s="6">
        <v>1357</v>
      </c>
      <c r="W6" s="6">
        <v>-55.13</v>
      </c>
      <c r="X6" s="6">
        <v>2204</v>
      </c>
      <c r="Y6" s="35">
        <v>2.128</v>
      </c>
    </row>
    <row r="7" spans="1:25" ht="12.75">
      <c r="A7" s="6">
        <v>2023</v>
      </c>
      <c r="B7" s="53">
        <v>44961</v>
      </c>
      <c r="C7" s="37">
        <v>29.67</v>
      </c>
      <c r="D7" s="6">
        <v>1541</v>
      </c>
      <c r="E7" s="37">
        <v>19.56</v>
      </c>
      <c r="F7" s="38">
        <v>553</v>
      </c>
      <c r="G7" s="37">
        <v>23.52</v>
      </c>
      <c r="H7" s="54">
        <v>90.4</v>
      </c>
      <c r="I7" s="6">
        <v>623</v>
      </c>
      <c r="J7" s="37">
        <v>45.65</v>
      </c>
      <c r="K7" s="6">
        <v>1518</v>
      </c>
      <c r="L7" s="37">
        <v>73.1</v>
      </c>
      <c r="M7" s="6">
        <v>0</v>
      </c>
      <c r="N7" s="37">
        <v>1.22</v>
      </c>
      <c r="O7" s="54">
        <f>5.675*3.6</f>
        <v>20.43</v>
      </c>
      <c r="P7" s="6">
        <v>2110</v>
      </c>
      <c r="Q7" s="44">
        <v>233.5</v>
      </c>
      <c r="R7" s="6">
        <v>7.77</v>
      </c>
      <c r="S7" s="36">
        <v>1129</v>
      </c>
      <c r="T7" s="6">
        <v>1238</v>
      </c>
      <c r="U7" s="37">
        <v>41.72</v>
      </c>
      <c r="V7" s="6">
        <v>1433</v>
      </c>
      <c r="W7" s="37">
        <v>-47.06</v>
      </c>
      <c r="X7" s="6">
        <v>2316</v>
      </c>
      <c r="Y7" s="35">
        <v>1.983</v>
      </c>
    </row>
    <row r="8" spans="1:25" ht="12.75">
      <c r="A8" s="6">
        <v>2023</v>
      </c>
      <c r="B8" s="53">
        <v>44962</v>
      </c>
      <c r="C8" s="6">
        <v>29.95</v>
      </c>
      <c r="D8" s="6">
        <v>1538</v>
      </c>
      <c r="E8" s="37">
        <v>18.9</v>
      </c>
      <c r="F8" s="6">
        <v>614</v>
      </c>
      <c r="G8" s="37">
        <v>23.46</v>
      </c>
      <c r="H8" s="54">
        <v>93.8</v>
      </c>
      <c r="I8" s="6">
        <v>2331</v>
      </c>
      <c r="J8" s="48">
        <v>40.95</v>
      </c>
      <c r="K8" s="6">
        <v>1538</v>
      </c>
      <c r="L8" s="37">
        <v>73.6</v>
      </c>
      <c r="M8" s="6">
        <v>0</v>
      </c>
      <c r="N8" s="37">
        <v>1.008</v>
      </c>
      <c r="O8" s="54">
        <f>5.075*3.6</f>
        <v>18.27</v>
      </c>
      <c r="P8" s="6">
        <v>1549</v>
      </c>
      <c r="Q8" s="44">
        <v>225.9</v>
      </c>
      <c r="R8" s="37">
        <v>6.876</v>
      </c>
      <c r="S8" s="36">
        <v>1041</v>
      </c>
      <c r="T8" s="6">
        <v>1326</v>
      </c>
      <c r="U8" s="6">
        <v>47.82</v>
      </c>
      <c r="V8" s="6">
        <v>1242</v>
      </c>
      <c r="W8" s="6">
        <v>47.26</v>
      </c>
      <c r="X8" s="6">
        <v>234</v>
      </c>
      <c r="Y8" s="35">
        <v>1.744</v>
      </c>
    </row>
    <row r="9" spans="1:25" ht="12.75">
      <c r="A9" s="6">
        <v>2023</v>
      </c>
      <c r="B9" s="53">
        <v>44963</v>
      </c>
      <c r="C9" s="37">
        <v>29.28</v>
      </c>
      <c r="D9" s="6">
        <v>1519</v>
      </c>
      <c r="E9" s="6">
        <v>20.09</v>
      </c>
      <c r="F9" s="6">
        <v>607</v>
      </c>
      <c r="G9" s="37">
        <v>24.36</v>
      </c>
      <c r="H9" s="54">
        <v>99.6</v>
      </c>
      <c r="I9" s="6">
        <v>608</v>
      </c>
      <c r="J9" s="37">
        <v>38.42</v>
      </c>
      <c r="K9" s="6">
        <v>1545</v>
      </c>
      <c r="L9" s="37">
        <v>72.8</v>
      </c>
      <c r="M9" s="6">
        <v>6.2</v>
      </c>
      <c r="N9" s="37">
        <v>0.914</v>
      </c>
      <c r="O9" s="54">
        <f>5.75*3.6</f>
        <v>20.7</v>
      </c>
      <c r="P9" s="6">
        <v>2259</v>
      </c>
      <c r="Q9" s="44">
        <v>293.6</v>
      </c>
      <c r="R9" s="37">
        <v>7.21</v>
      </c>
      <c r="S9" s="36">
        <v>1171</v>
      </c>
      <c r="T9" s="6">
        <v>1238</v>
      </c>
      <c r="U9" s="37">
        <v>29.92</v>
      </c>
      <c r="V9" s="6">
        <v>1327</v>
      </c>
      <c r="W9" s="6">
        <v>-51.82</v>
      </c>
      <c r="X9" s="6">
        <v>2354</v>
      </c>
      <c r="Y9" s="35">
        <v>1.865</v>
      </c>
    </row>
    <row r="10" spans="1:25" ht="12.75">
      <c r="A10" s="6">
        <v>2023</v>
      </c>
      <c r="B10" s="53">
        <v>44964</v>
      </c>
      <c r="C10" s="37">
        <v>29.94</v>
      </c>
      <c r="D10" s="6">
        <v>1548</v>
      </c>
      <c r="E10" s="6">
        <v>19.03</v>
      </c>
      <c r="F10" s="6">
        <v>559</v>
      </c>
      <c r="G10" s="37">
        <v>23.2</v>
      </c>
      <c r="H10" s="37">
        <v>88.2</v>
      </c>
      <c r="I10" s="6">
        <v>613</v>
      </c>
      <c r="J10" s="37">
        <v>46.91</v>
      </c>
      <c r="K10" s="6">
        <v>1549</v>
      </c>
      <c r="L10" s="37">
        <v>73.7</v>
      </c>
      <c r="M10" s="36">
        <v>9.1</v>
      </c>
      <c r="N10" s="37">
        <v>0.712</v>
      </c>
      <c r="O10" s="37">
        <f>5*3.6</f>
        <v>18</v>
      </c>
      <c r="P10" s="6">
        <v>1823</v>
      </c>
      <c r="Q10" s="36">
        <v>161.2</v>
      </c>
      <c r="R10" s="37">
        <v>5.795</v>
      </c>
      <c r="S10" s="36">
        <v>1071</v>
      </c>
      <c r="T10" s="6">
        <v>1245</v>
      </c>
      <c r="U10" s="6">
        <v>29.41</v>
      </c>
      <c r="V10" s="6">
        <v>1405</v>
      </c>
      <c r="W10" s="37">
        <v>-52.71</v>
      </c>
      <c r="X10" s="6">
        <v>29</v>
      </c>
      <c r="Y10" s="35">
        <v>1.355</v>
      </c>
    </row>
    <row r="11" spans="1:25" ht="12.75">
      <c r="A11" s="6">
        <v>2023</v>
      </c>
      <c r="B11" s="53">
        <v>44965</v>
      </c>
      <c r="C11" s="37">
        <v>32.11</v>
      </c>
      <c r="D11" s="6">
        <v>1616</v>
      </c>
      <c r="E11" s="37">
        <v>18.9</v>
      </c>
      <c r="F11" s="6">
        <v>524</v>
      </c>
      <c r="G11" s="37">
        <v>24.39</v>
      </c>
      <c r="H11" s="37">
        <v>99.8</v>
      </c>
      <c r="I11" s="6">
        <v>2150</v>
      </c>
      <c r="J11" s="6">
        <v>30.25</v>
      </c>
      <c r="K11" s="6">
        <v>1523</v>
      </c>
      <c r="L11" s="37">
        <v>68.58</v>
      </c>
      <c r="M11" s="6">
        <v>42.9</v>
      </c>
      <c r="N11" s="37">
        <v>0.871</v>
      </c>
      <c r="O11" s="37">
        <f>6.95*3.6</f>
        <v>25.02</v>
      </c>
      <c r="P11" s="6">
        <v>2012</v>
      </c>
      <c r="Q11" s="36">
        <v>122.4</v>
      </c>
      <c r="R11" s="37">
        <v>8.5</v>
      </c>
      <c r="S11" s="36">
        <v>928</v>
      </c>
      <c r="T11" s="38">
        <v>1154</v>
      </c>
      <c r="U11" s="37">
        <v>47.22</v>
      </c>
      <c r="V11" s="6">
        <v>1202</v>
      </c>
      <c r="W11" s="37">
        <v>-95.3</v>
      </c>
      <c r="X11" s="6">
        <v>2047</v>
      </c>
      <c r="Y11" s="35">
        <v>2.112</v>
      </c>
    </row>
    <row r="12" spans="1:25" ht="12.75">
      <c r="A12" s="6">
        <v>2023</v>
      </c>
      <c r="B12" s="53">
        <v>44966</v>
      </c>
      <c r="C12" s="37">
        <v>32</v>
      </c>
      <c r="D12" s="6">
        <v>1538</v>
      </c>
      <c r="E12" s="37">
        <v>19.03</v>
      </c>
      <c r="F12" s="6">
        <v>616</v>
      </c>
      <c r="G12" s="6">
        <v>24.07</v>
      </c>
      <c r="H12" s="37">
        <v>99.7</v>
      </c>
      <c r="I12" s="6">
        <v>0</v>
      </c>
      <c r="J12" s="37">
        <v>36.89</v>
      </c>
      <c r="K12" s="6">
        <v>1533</v>
      </c>
      <c r="L12" s="37">
        <v>76.7</v>
      </c>
      <c r="M12" s="36">
        <v>0.2</v>
      </c>
      <c r="N12" s="37">
        <v>1.12</v>
      </c>
      <c r="O12" s="37">
        <f>6.425*3.6</f>
        <v>23.13</v>
      </c>
      <c r="P12" s="6">
        <v>1857</v>
      </c>
      <c r="Q12" s="37">
        <v>6.785</v>
      </c>
      <c r="R12" s="6">
        <v>8.57</v>
      </c>
      <c r="S12" s="36">
        <v>1029</v>
      </c>
      <c r="T12" s="6">
        <v>1242</v>
      </c>
      <c r="U12" s="37">
        <v>57.92</v>
      </c>
      <c r="V12" s="6">
        <v>1406</v>
      </c>
      <c r="W12" s="37">
        <v>-52.58</v>
      </c>
      <c r="X12" s="6">
        <v>0</v>
      </c>
      <c r="Y12" s="35">
        <v>2.118</v>
      </c>
    </row>
    <row r="13" spans="1:25" ht="12.75">
      <c r="A13" s="6">
        <v>2023</v>
      </c>
      <c r="B13" s="53">
        <v>44967</v>
      </c>
      <c r="C13" s="37">
        <v>30.4</v>
      </c>
      <c r="D13" s="6">
        <v>1712</v>
      </c>
      <c r="E13" s="6">
        <v>18.37</v>
      </c>
      <c r="F13" s="6">
        <v>518</v>
      </c>
      <c r="G13" s="6">
        <v>23.59</v>
      </c>
      <c r="H13" s="37">
        <v>99.5</v>
      </c>
      <c r="I13" s="6">
        <v>0</v>
      </c>
      <c r="J13" s="37">
        <v>38.62</v>
      </c>
      <c r="K13" s="6">
        <v>1434</v>
      </c>
      <c r="L13" s="37">
        <v>74.2</v>
      </c>
      <c r="M13" s="38">
        <v>0</v>
      </c>
      <c r="N13" s="37">
        <v>0.858</v>
      </c>
      <c r="O13" s="37">
        <f>8.82*3.6</f>
        <v>31.752000000000002</v>
      </c>
      <c r="P13" s="6">
        <v>1917</v>
      </c>
      <c r="Q13" s="36">
        <v>33.93</v>
      </c>
      <c r="R13" s="6">
        <v>7.93</v>
      </c>
      <c r="S13" s="36">
        <v>993</v>
      </c>
      <c r="T13" s="6">
        <v>1252</v>
      </c>
      <c r="U13" s="6">
        <v>35.91</v>
      </c>
      <c r="V13" s="6">
        <v>1310</v>
      </c>
      <c r="W13" s="37">
        <v>-51.06</v>
      </c>
      <c r="X13" s="6">
        <v>2135</v>
      </c>
      <c r="Y13" s="35">
        <v>1.884</v>
      </c>
    </row>
    <row r="14" spans="1:26" ht="12.75">
      <c r="A14" s="6">
        <v>2023</v>
      </c>
      <c r="B14" s="53">
        <v>44968</v>
      </c>
      <c r="C14" s="6">
        <v>28.62</v>
      </c>
      <c r="D14" s="6">
        <v>1628</v>
      </c>
      <c r="E14" s="6">
        <v>19.76</v>
      </c>
      <c r="F14" s="6">
        <v>239</v>
      </c>
      <c r="G14" s="37">
        <v>23</v>
      </c>
      <c r="H14" s="37">
        <v>96.2</v>
      </c>
      <c r="I14" s="6">
        <v>15</v>
      </c>
      <c r="J14" s="6">
        <v>50.64</v>
      </c>
      <c r="K14" s="6">
        <v>1630</v>
      </c>
      <c r="L14" s="37">
        <v>77.5</v>
      </c>
      <c r="M14" s="6">
        <v>0.1</v>
      </c>
      <c r="N14" s="37">
        <v>0.803</v>
      </c>
      <c r="O14" s="54">
        <f>4.625*3.6</f>
        <v>16.650000000000002</v>
      </c>
      <c r="P14" s="6">
        <v>1409</v>
      </c>
      <c r="Q14" s="36">
        <v>9.05</v>
      </c>
      <c r="R14" s="37">
        <v>5.687</v>
      </c>
      <c r="S14" s="36">
        <v>1120</v>
      </c>
      <c r="T14" s="6">
        <v>1302</v>
      </c>
      <c r="U14" s="37">
        <v>28.88</v>
      </c>
      <c r="V14" s="6">
        <v>1341</v>
      </c>
      <c r="W14" s="6">
        <v>-48.45</v>
      </c>
      <c r="X14" s="6">
        <v>0</v>
      </c>
      <c r="Y14" s="6">
        <v>1.325</v>
      </c>
      <c r="Z14" s="13"/>
    </row>
    <row r="15" spans="1:25" ht="12.75">
      <c r="A15" s="6">
        <v>2023</v>
      </c>
      <c r="B15" s="53">
        <v>44969</v>
      </c>
      <c r="C15" s="37">
        <v>23.76</v>
      </c>
      <c r="D15" s="6">
        <v>1702</v>
      </c>
      <c r="E15" s="37">
        <v>18.3</v>
      </c>
      <c r="F15" s="6">
        <v>505</v>
      </c>
      <c r="G15" s="37">
        <v>20.87</v>
      </c>
      <c r="H15" s="37">
        <v>99.7</v>
      </c>
      <c r="I15" s="6">
        <v>817</v>
      </c>
      <c r="J15" s="37">
        <v>80.7</v>
      </c>
      <c r="K15" s="6">
        <v>1224</v>
      </c>
      <c r="L15" s="37">
        <v>84.7</v>
      </c>
      <c r="M15" s="6">
        <v>42.5</v>
      </c>
      <c r="N15" s="37">
        <v>1.022</v>
      </c>
      <c r="O15" s="54">
        <f>7.4*3.6</f>
        <v>26.64</v>
      </c>
      <c r="P15" s="6">
        <v>1227</v>
      </c>
      <c r="Q15" s="6">
        <v>20.36</v>
      </c>
      <c r="R15" s="37">
        <v>3.544</v>
      </c>
      <c r="S15" s="36">
        <v>349.7</v>
      </c>
      <c r="T15" s="6">
        <v>1041</v>
      </c>
      <c r="U15" s="37">
        <v>-4.704</v>
      </c>
      <c r="V15" s="6">
        <v>1115</v>
      </c>
      <c r="W15" s="37">
        <v>-69</v>
      </c>
      <c r="X15" s="6">
        <v>415</v>
      </c>
      <c r="Y15" s="6">
        <v>0.577</v>
      </c>
    </row>
    <row r="16" spans="1:25" ht="12.75">
      <c r="A16" s="6">
        <v>2023</v>
      </c>
      <c r="B16" s="53">
        <v>44970</v>
      </c>
      <c r="C16" s="37">
        <v>31.8</v>
      </c>
      <c r="D16" s="6">
        <v>1529</v>
      </c>
      <c r="E16" s="37">
        <v>18.76</v>
      </c>
      <c r="F16" s="6">
        <v>504</v>
      </c>
      <c r="G16" s="37">
        <v>24.17</v>
      </c>
      <c r="H16" s="37">
        <v>98.9</v>
      </c>
      <c r="I16" s="6">
        <v>633</v>
      </c>
      <c r="J16" s="37">
        <v>46.91</v>
      </c>
      <c r="K16" s="6">
        <v>1529</v>
      </c>
      <c r="L16" s="37">
        <v>76.4</v>
      </c>
      <c r="M16" s="6">
        <v>0.1</v>
      </c>
      <c r="N16" s="37">
        <v>0.784</v>
      </c>
      <c r="O16" s="54">
        <f>5.825*3.6</f>
        <v>20.970000000000002</v>
      </c>
      <c r="P16" s="6">
        <v>53</v>
      </c>
      <c r="Q16" s="36">
        <v>252.1</v>
      </c>
      <c r="R16" s="6">
        <v>7.06</v>
      </c>
      <c r="S16" s="36">
        <v>1030</v>
      </c>
      <c r="T16" s="6">
        <v>1215</v>
      </c>
      <c r="U16" s="37">
        <v>39.23</v>
      </c>
      <c r="V16" s="6">
        <v>1329</v>
      </c>
      <c r="W16" s="37">
        <v>-42.37</v>
      </c>
      <c r="X16" s="6">
        <v>0</v>
      </c>
      <c r="Y16" s="35">
        <v>1.617</v>
      </c>
    </row>
    <row r="17" spans="1:25" ht="12.75">
      <c r="A17" s="6">
        <v>2023</v>
      </c>
      <c r="B17" s="53">
        <v>44971</v>
      </c>
      <c r="C17" s="37">
        <v>30.4</v>
      </c>
      <c r="D17" s="6">
        <v>1614</v>
      </c>
      <c r="E17" s="37">
        <v>19.16</v>
      </c>
      <c r="F17" s="6">
        <v>203</v>
      </c>
      <c r="G17" s="37">
        <v>24.58</v>
      </c>
      <c r="H17" s="37">
        <v>85.2</v>
      </c>
      <c r="I17" s="6">
        <v>659</v>
      </c>
      <c r="J17" s="6">
        <v>40.61</v>
      </c>
      <c r="K17" s="6">
        <v>1323</v>
      </c>
      <c r="L17" s="37">
        <v>66.06</v>
      </c>
      <c r="M17" s="38">
        <v>0</v>
      </c>
      <c r="N17" s="37">
        <v>0.977</v>
      </c>
      <c r="O17" s="54">
        <f>7.77*3.6</f>
        <v>27.971999999999998</v>
      </c>
      <c r="P17" s="6">
        <v>104</v>
      </c>
      <c r="Q17" s="36">
        <v>244.8</v>
      </c>
      <c r="R17" s="37">
        <v>7.8</v>
      </c>
      <c r="S17" s="36">
        <v>1095</v>
      </c>
      <c r="T17" s="6">
        <v>1251</v>
      </c>
      <c r="U17" s="37">
        <v>39.51</v>
      </c>
      <c r="V17" s="6">
        <v>1331</v>
      </c>
      <c r="W17" s="6">
        <v>-47.23</v>
      </c>
      <c r="X17" s="6">
        <v>136</v>
      </c>
      <c r="Y17" s="35">
        <v>2.042</v>
      </c>
    </row>
    <row r="18" spans="1:25" ht="12.75">
      <c r="A18" s="6">
        <v>2023</v>
      </c>
      <c r="B18" s="53">
        <v>44972</v>
      </c>
      <c r="C18" s="37">
        <v>31.8</v>
      </c>
      <c r="D18" s="6">
        <v>1412</v>
      </c>
      <c r="E18" s="37">
        <v>19.75</v>
      </c>
      <c r="F18" s="6">
        <v>2000</v>
      </c>
      <c r="G18" s="37">
        <v>24.25</v>
      </c>
      <c r="H18" s="37">
        <v>99.3</v>
      </c>
      <c r="I18" s="6">
        <v>2324</v>
      </c>
      <c r="J18" s="37">
        <v>44.59</v>
      </c>
      <c r="K18" s="6">
        <v>1429</v>
      </c>
      <c r="L18" s="37">
        <v>76.7</v>
      </c>
      <c r="M18" s="6">
        <v>38.8</v>
      </c>
      <c r="N18" s="37">
        <v>1.001</v>
      </c>
      <c r="O18" s="54">
        <f>11.3*3.6</f>
        <v>40.68000000000001</v>
      </c>
      <c r="P18" s="6">
        <v>1950</v>
      </c>
      <c r="Q18" s="36">
        <v>315.6</v>
      </c>
      <c r="R18" s="37">
        <v>6.557</v>
      </c>
      <c r="S18" s="36">
        <v>1045</v>
      </c>
      <c r="T18" s="6">
        <v>1101</v>
      </c>
      <c r="U18" s="37">
        <v>34.38</v>
      </c>
      <c r="V18" s="6">
        <v>1352</v>
      </c>
      <c r="W18" s="6">
        <v>-102.2</v>
      </c>
      <c r="X18" s="6">
        <v>2222</v>
      </c>
      <c r="Y18" s="35">
        <v>1.772</v>
      </c>
    </row>
    <row r="19" spans="1:25" ht="12.75">
      <c r="A19" s="6">
        <v>2023</v>
      </c>
      <c r="B19" s="53">
        <v>44973</v>
      </c>
      <c r="C19" s="37">
        <v>30.07</v>
      </c>
      <c r="D19" s="6">
        <v>1443</v>
      </c>
      <c r="E19" s="37">
        <v>19.43</v>
      </c>
      <c r="F19" s="6">
        <v>417</v>
      </c>
      <c r="G19" s="37">
        <v>23.61</v>
      </c>
      <c r="H19" s="37">
        <v>99.6</v>
      </c>
      <c r="I19" s="6">
        <v>37</v>
      </c>
      <c r="J19" s="37">
        <v>50.1</v>
      </c>
      <c r="K19" s="6">
        <v>1436</v>
      </c>
      <c r="L19" s="37">
        <v>81.1</v>
      </c>
      <c r="M19" s="6">
        <v>3.3</v>
      </c>
      <c r="N19" s="37">
        <v>1.136</v>
      </c>
      <c r="O19" s="37">
        <f>5.225*3.6</f>
        <v>18.81</v>
      </c>
      <c r="P19" s="6">
        <v>1831</v>
      </c>
      <c r="Q19" s="43">
        <v>214.3</v>
      </c>
      <c r="R19" s="37">
        <v>7.78</v>
      </c>
      <c r="S19" s="36">
        <v>1178</v>
      </c>
      <c r="T19" s="6">
        <v>1209</v>
      </c>
      <c r="U19" s="37">
        <v>39.95</v>
      </c>
      <c r="V19" s="6">
        <v>1306</v>
      </c>
      <c r="W19" s="6">
        <v>-46.77</v>
      </c>
      <c r="X19" s="6">
        <v>1</v>
      </c>
      <c r="Y19" s="35">
        <v>1.883</v>
      </c>
    </row>
    <row r="20" spans="1:25" ht="12.75">
      <c r="A20" s="6">
        <v>2023</v>
      </c>
      <c r="B20" s="53">
        <v>44974</v>
      </c>
      <c r="C20" s="6">
        <v>30.41</v>
      </c>
      <c r="D20" s="6">
        <v>1505</v>
      </c>
      <c r="E20" s="37">
        <v>20.36</v>
      </c>
      <c r="F20" s="6">
        <v>529</v>
      </c>
      <c r="G20" s="37">
        <v>24.07</v>
      </c>
      <c r="H20" s="37">
        <v>88.1</v>
      </c>
      <c r="I20" s="6">
        <v>705</v>
      </c>
      <c r="J20" s="37">
        <v>42.47</v>
      </c>
      <c r="K20" s="6">
        <v>1507</v>
      </c>
      <c r="L20" s="37">
        <v>73.6</v>
      </c>
      <c r="M20" s="36">
        <v>0.5</v>
      </c>
      <c r="N20" s="37">
        <v>1.304</v>
      </c>
      <c r="O20" s="37">
        <f>6.95*3.6</f>
        <v>25.02</v>
      </c>
      <c r="P20" s="6">
        <v>1641</v>
      </c>
      <c r="Q20" s="36">
        <v>259.4</v>
      </c>
      <c r="R20" s="37">
        <v>7.56</v>
      </c>
      <c r="S20" s="36">
        <v>1056</v>
      </c>
      <c r="T20" s="6">
        <v>1137</v>
      </c>
      <c r="U20" s="37">
        <v>33.55</v>
      </c>
      <c r="V20" s="6">
        <v>1215</v>
      </c>
      <c r="W20" s="37">
        <v>-41.57</v>
      </c>
      <c r="X20" s="6">
        <v>2342</v>
      </c>
      <c r="Y20" s="35">
        <v>2.078</v>
      </c>
    </row>
    <row r="21" spans="1:25" ht="12.75">
      <c r="A21" s="6">
        <v>2023</v>
      </c>
      <c r="B21" s="53">
        <v>44975</v>
      </c>
      <c r="C21" s="37">
        <v>30.28</v>
      </c>
      <c r="D21" s="6">
        <v>1315</v>
      </c>
      <c r="E21" s="37">
        <v>20.36</v>
      </c>
      <c r="F21" s="6">
        <v>434</v>
      </c>
      <c r="G21" s="37">
        <v>23.17</v>
      </c>
      <c r="H21" s="37">
        <v>92.8</v>
      </c>
      <c r="I21" s="6">
        <v>637</v>
      </c>
      <c r="J21" s="37">
        <v>47.39</v>
      </c>
      <c r="K21" s="6">
        <v>1305</v>
      </c>
      <c r="L21" s="37">
        <v>79</v>
      </c>
      <c r="M21" s="6">
        <v>0.7</v>
      </c>
      <c r="N21" s="37">
        <v>0.997</v>
      </c>
      <c r="O21" s="54">
        <f>6.875*3.6</f>
        <v>24.75</v>
      </c>
      <c r="P21" s="6">
        <v>1411</v>
      </c>
      <c r="Q21" s="36">
        <v>40.9</v>
      </c>
      <c r="R21" s="37">
        <v>5.469</v>
      </c>
      <c r="S21" s="36">
        <v>958</v>
      </c>
      <c r="T21" s="6">
        <v>1234</v>
      </c>
      <c r="U21" s="37">
        <v>34.1</v>
      </c>
      <c r="V21" s="6">
        <v>1253</v>
      </c>
      <c r="W21" s="37">
        <v>-45.08</v>
      </c>
      <c r="X21" s="6">
        <v>302</v>
      </c>
      <c r="Y21" s="35">
        <v>1.31</v>
      </c>
    </row>
    <row r="22" spans="1:25" ht="12.75">
      <c r="A22" s="6">
        <v>2023</v>
      </c>
      <c r="B22" s="53">
        <v>44976</v>
      </c>
      <c r="C22" s="37">
        <v>29.62</v>
      </c>
      <c r="D22" s="6">
        <v>1530</v>
      </c>
      <c r="E22" s="37">
        <v>18.97</v>
      </c>
      <c r="F22" s="6">
        <v>2354</v>
      </c>
      <c r="G22" s="37">
        <v>21.87</v>
      </c>
      <c r="H22" s="37">
        <v>94.9</v>
      </c>
      <c r="I22" s="6">
        <v>1804</v>
      </c>
      <c r="J22" s="6">
        <v>53.09</v>
      </c>
      <c r="K22" s="6">
        <v>1529</v>
      </c>
      <c r="L22" s="37">
        <v>83.8</v>
      </c>
      <c r="M22" s="36">
        <v>38.6</v>
      </c>
      <c r="N22" s="37">
        <v>2.847</v>
      </c>
      <c r="O22" s="54">
        <f>10.92*3.6</f>
        <v>39.312</v>
      </c>
      <c r="P22" s="6">
        <v>1556</v>
      </c>
      <c r="Q22" s="36">
        <v>29.68</v>
      </c>
      <c r="R22" s="37">
        <v>6.872</v>
      </c>
      <c r="S22" s="36">
        <v>1091</v>
      </c>
      <c r="T22" s="6">
        <v>1258</v>
      </c>
      <c r="U22" s="37">
        <v>23.36</v>
      </c>
      <c r="V22" s="6">
        <v>1416</v>
      </c>
      <c r="W22" s="37">
        <v>-92.5</v>
      </c>
      <c r="X22" s="6">
        <v>1619</v>
      </c>
      <c r="Y22" s="35">
        <v>1.714</v>
      </c>
    </row>
    <row r="23" spans="1:25" ht="12.75">
      <c r="A23" s="6">
        <v>2023</v>
      </c>
      <c r="B23" s="53">
        <v>44977</v>
      </c>
      <c r="C23" s="37">
        <v>30.41</v>
      </c>
      <c r="D23" s="6">
        <v>1440</v>
      </c>
      <c r="E23" s="37">
        <v>18.24</v>
      </c>
      <c r="F23" s="6">
        <v>551</v>
      </c>
      <c r="G23" s="37">
        <v>23.45</v>
      </c>
      <c r="H23" s="37">
        <v>99.8</v>
      </c>
      <c r="I23" s="6">
        <v>2226</v>
      </c>
      <c r="J23" s="37">
        <v>41.81</v>
      </c>
      <c r="K23" s="6">
        <v>1442</v>
      </c>
      <c r="L23" s="37">
        <v>77.6</v>
      </c>
      <c r="M23" s="6">
        <v>7.8</v>
      </c>
      <c r="N23" s="37">
        <v>1.814</v>
      </c>
      <c r="O23" s="54">
        <f>8.3*3.6</f>
        <v>29.880000000000003</v>
      </c>
      <c r="P23" s="6">
        <v>2205</v>
      </c>
      <c r="Q23" s="36">
        <v>30.92</v>
      </c>
      <c r="R23" s="6">
        <v>8.79</v>
      </c>
      <c r="S23" s="36">
        <v>1010</v>
      </c>
      <c r="T23" s="6">
        <v>1233</v>
      </c>
      <c r="U23" s="37">
        <v>49.99</v>
      </c>
      <c r="V23" s="6">
        <v>1329</v>
      </c>
      <c r="W23" s="37">
        <v>-88.2</v>
      </c>
      <c r="X23" s="6">
        <v>2240</v>
      </c>
      <c r="Y23" s="35">
        <v>2.181</v>
      </c>
    </row>
    <row r="24" spans="1:25" ht="12.75">
      <c r="A24" s="6">
        <v>2023</v>
      </c>
      <c r="B24" s="53">
        <v>44978</v>
      </c>
      <c r="C24" s="37">
        <v>26.5</v>
      </c>
      <c r="D24" s="6">
        <v>1442</v>
      </c>
      <c r="E24" s="37">
        <v>18.04</v>
      </c>
      <c r="F24" s="6">
        <v>441</v>
      </c>
      <c r="G24" s="37">
        <v>21.87</v>
      </c>
      <c r="H24" s="37">
        <v>99.7</v>
      </c>
      <c r="I24" s="6">
        <v>0</v>
      </c>
      <c r="J24" s="42">
        <v>57.94</v>
      </c>
      <c r="K24" s="6">
        <v>1530</v>
      </c>
      <c r="L24" s="37">
        <v>83.9</v>
      </c>
      <c r="M24" s="6">
        <v>0</v>
      </c>
      <c r="N24" s="37">
        <v>1.058</v>
      </c>
      <c r="O24" s="54">
        <f>4.85*3.6</f>
        <v>17.46</v>
      </c>
      <c r="P24" s="6">
        <v>1443</v>
      </c>
      <c r="Q24" s="36">
        <v>214.1</v>
      </c>
      <c r="R24" s="37">
        <v>6.348</v>
      </c>
      <c r="S24" s="36">
        <v>966</v>
      </c>
      <c r="T24" s="6">
        <v>1331</v>
      </c>
      <c r="U24" s="6">
        <v>23.56</v>
      </c>
      <c r="V24" s="6">
        <v>1415</v>
      </c>
      <c r="W24" s="6">
        <v>-46.72</v>
      </c>
      <c r="X24" s="6">
        <v>1</v>
      </c>
      <c r="Y24" s="35">
        <v>1.397</v>
      </c>
    </row>
    <row r="25" spans="1:25" ht="12.75">
      <c r="A25" s="6">
        <v>2023</v>
      </c>
      <c r="B25" s="53">
        <v>44979</v>
      </c>
      <c r="C25" s="37">
        <v>31.53</v>
      </c>
      <c r="D25" s="6">
        <v>1503</v>
      </c>
      <c r="E25" s="37">
        <v>18.3</v>
      </c>
      <c r="F25" s="6">
        <v>535</v>
      </c>
      <c r="G25" s="37">
        <v>24.07</v>
      </c>
      <c r="H25" s="37">
        <v>99.4</v>
      </c>
      <c r="I25" s="6">
        <v>24</v>
      </c>
      <c r="J25" s="42">
        <v>32.71</v>
      </c>
      <c r="K25" s="6">
        <v>1504</v>
      </c>
      <c r="L25" s="37">
        <v>76.7</v>
      </c>
      <c r="M25" s="6">
        <v>0</v>
      </c>
      <c r="N25" s="37">
        <v>0.647</v>
      </c>
      <c r="O25" s="54">
        <f>4.025*3.6</f>
        <v>14.490000000000002</v>
      </c>
      <c r="P25" s="6">
        <v>1005</v>
      </c>
      <c r="Q25" s="36">
        <v>16.78</v>
      </c>
      <c r="R25" s="6">
        <v>8.29</v>
      </c>
      <c r="S25" s="36">
        <v>992</v>
      </c>
      <c r="T25" s="6">
        <v>1314</v>
      </c>
      <c r="U25" s="37">
        <v>50.88</v>
      </c>
      <c r="V25" s="6">
        <v>1221</v>
      </c>
      <c r="W25" s="6">
        <v>-43.58</v>
      </c>
      <c r="X25" s="6">
        <v>2304</v>
      </c>
      <c r="Y25" s="35">
        <v>1.922</v>
      </c>
    </row>
    <row r="26" spans="1:26" ht="12.75">
      <c r="A26" s="6">
        <v>2023</v>
      </c>
      <c r="B26" s="53">
        <v>44980</v>
      </c>
      <c r="C26" s="37">
        <v>30.6</v>
      </c>
      <c r="D26" s="6">
        <v>1559</v>
      </c>
      <c r="E26" s="37">
        <v>19.83</v>
      </c>
      <c r="F26" s="6">
        <v>341</v>
      </c>
      <c r="G26" s="37">
        <v>23.81</v>
      </c>
      <c r="H26" s="37">
        <v>99.2</v>
      </c>
      <c r="I26" s="6">
        <v>2203</v>
      </c>
      <c r="J26" s="6">
        <v>45.46</v>
      </c>
      <c r="K26" s="6">
        <v>1554</v>
      </c>
      <c r="L26" s="37">
        <v>79.6</v>
      </c>
      <c r="M26" s="6">
        <v>10.4</v>
      </c>
      <c r="N26" s="37">
        <v>1.072</v>
      </c>
      <c r="O26" s="54">
        <f>5.45*3.6</f>
        <v>19.62</v>
      </c>
      <c r="P26" s="6">
        <v>1418</v>
      </c>
      <c r="Q26" s="36">
        <v>213</v>
      </c>
      <c r="R26" s="37">
        <v>7.18</v>
      </c>
      <c r="S26" s="36">
        <v>868</v>
      </c>
      <c r="T26" s="6">
        <v>1355</v>
      </c>
      <c r="U26" s="6">
        <v>28.86</v>
      </c>
      <c r="V26" s="6">
        <v>1531</v>
      </c>
      <c r="W26" s="37">
        <v>-65.6</v>
      </c>
      <c r="X26" s="6">
        <v>2050</v>
      </c>
      <c r="Y26" s="35">
        <v>1.735</v>
      </c>
      <c r="Z26" s="32"/>
    </row>
    <row r="27" spans="1:25" ht="12.75">
      <c r="A27" s="6">
        <v>2023</v>
      </c>
      <c r="B27" s="53">
        <v>44981</v>
      </c>
      <c r="C27" s="37">
        <v>29.22</v>
      </c>
      <c r="D27" s="6">
        <v>1551</v>
      </c>
      <c r="E27" s="37">
        <v>19.24</v>
      </c>
      <c r="F27" s="6">
        <v>550</v>
      </c>
      <c r="G27" s="37">
        <v>22.99</v>
      </c>
      <c r="H27" s="37">
        <v>99.1</v>
      </c>
      <c r="I27" s="6">
        <v>0</v>
      </c>
      <c r="J27" s="37">
        <v>45.2</v>
      </c>
      <c r="K27" s="6">
        <v>1547</v>
      </c>
      <c r="L27" s="37">
        <v>77.5</v>
      </c>
      <c r="M27" s="6">
        <v>0.2</v>
      </c>
      <c r="N27" s="37">
        <v>0.621</v>
      </c>
      <c r="O27" s="54">
        <f>4.325*3.6</f>
        <v>15.57</v>
      </c>
      <c r="P27" s="6">
        <v>1301</v>
      </c>
      <c r="Q27" s="44">
        <v>328.9</v>
      </c>
      <c r="R27" s="37">
        <v>6.781</v>
      </c>
      <c r="S27" s="36">
        <v>990</v>
      </c>
      <c r="T27" s="6">
        <v>1258</v>
      </c>
      <c r="U27" s="37">
        <v>38.08</v>
      </c>
      <c r="V27" s="6">
        <v>1328</v>
      </c>
      <c r="W27" s="37">
        <v>-44.8</v>
      </c>
      <c r="X27" s="6">
        <v>2358</v>
      </c>
      <c r="Y27" s="35">
        <v>1.578</v>
      </c>
    </row>
    <row r="28" spans="1:25" ht="12.75">
      <c r="A28" s="6">
        <v>2023</v>
      </c>
      <c r="B28" s="53">
        <v>44982</v>
      </c>
      <c r="C28" s="37">
        <v>30.74</v>
      </c>
      <c r="D28" s="6">
        <v>1634</v>
      </c>
      <c r="E28" s="37">
        <v>19.5</v>
      </c>
      <c r="F28" s="6">
        <v>614</v>
      </c>
      <c r="G28" s="37">
        <v>24.54</v>
      </c>
      <c r="H28" s="37">
        <v>95.3</v>
      </c>
      <c r="I28" s="6">
        <v>2155</v>
      </c>
      <c r="J28" s="6">
        <v>42.07</v>
      </c>
      <c r="K28" s="6">
        <v>1516</v>
      </c>
      <c r="L28" s="37">
        <v>73.2</v>
      </c>
      <c r="M28" s="6">
        <v>0.8</v>
      </c>
      <c r="N28" s="37">
        <v>1.004</v>
      </c>
      <c r="O28" s="54">
        <f>6.575*3.6</f>
        <v>23.67</v>
      </c>
      <c r="P28" s="6">
        <v>1817</v>
      </c>
      <c r="Q28" s="36">
        <v>230.5</v>
      </c>
      <c r="R28" s="37">
        <v>8.23</v>
      </c>
      <c r="S28" s="36">
        <v>999</v>
      </c>
      <c r="T28" s="6">
        <v>1334</v>
      </c>
      <c r="U28" s="37">
        <v>41.58</v>
      </c>
      <c r="V28" s="6">
        <v>1250</v>
      </c>
      <c r="W28" s="6">
        <v>-45.29</v>
      </c>
      <c r="X28" s="6">
        <v>6</v>
      </c>
      <c r="Y28" s="6">
        <v>2.158</v>
      </c>
    </row>
    <row r="29" spans="1:25" ht="12.75">
      <c r="A29" s="6">
        <v>2023</v>
      </c>
      <c r="B29" s="53">
        <v>44983</v>
      </c>
      <c r="C29" s="37">
        <v>32</v>
      </c>
      <c r="D29" s="6">
        <v>1300</v>
      </c>
      <c r="E29" s="37">
        <v>19.56</v>
      </c>
      <c r="F29" s="6">
        <v>607</v>
      </c>
      <c r="G29" s="37">
        <v>23.57</v>
      </c>
      <c r="H29" s="37">
        <v>98.7</v>
      </c>
      <c r="I29" s="6">
        <v>325</v>
      </c>
      <c r="J29" s="37">
        <v>48.31</v>
      </c>
      <c r="K29" s="6">
        <v>1302</v>
      </c>
      <c r="L29" s="37">
        <v>83.3</v>
      </c>
      <c r="M29" s="38">
        <v>0</v>
      </c>
      <c r="N29" s="37">
        <v>0.951</v>
      </c>
      <c r="O29" s="54">
        <f>7.7*3.6</f>
        <v>27.720000000000002</v>
      </c>
      <c r="P29" s="6">
        <v>1523</v>
      </c>
      <c r="Q29" s="36">
        <v>179</v>
      </c>
      <c r="R29" s="37">
        <v>5.814</v>
      </c>
      <c r="S29" s="36">
        <v>923</v>
      </c>
      <c r="T29" s="6">
        <v>1314</v>
      </c>
      <c r="U29" s="37">
        <v>51.2</v>
      </c>
      <c r="V29" s="38">
        <v>1304</v>
      </c>
      <c r="W29" s="37">
        <v>-44.01</v>
      </c>
      <c r="X29" s="6">
        <v>151</v>
      </c>
      <c r="Y29" s="35">
        <v>1.43</v>
      </c>
    </row>
    <row r="30" spans="1:25" ht="12.75">
      <c r="A30" s="6">
        <v>2023</v>
      </c>
      <c r="B30" s="53">
        <v>44984</v>
      </c>
      <c r="C30" s="37">
        <v>34.18</v>
      </c>
      <c r="D30" s="6">
        <v>1422</v>
      </c>
      <c r="E30" s="37">
        <v>19.76</v>
      </c>
      <c r="F30" s="6">
        <v>612</v>
      </c>
      <c r="G30" s="37">
        <v>25.67</v>
      </c>
      <c r="H30" s="37">
        <v>98.6</v>
      </c>
      <c r="I30" s="6">
        <v>636</v>
      </c>
      <c r="J30" s="6">
        <v>43.38</v>
      </c>
      <c r="K30" s="6">
        <v>1603</v>
      </c>
      <c r="L30" s="37">
        <v>76.2</v>
      </c>
      <c r="M30" s="6">
        <v>1.7</v>
      </c>
      <c r="N30" s="37">
        <v>1.208</v>
      </c>
      <c r="O30" s="54">
        <f>7.62*3.6</f>
        <v>27.432000000000002</v>
      </c>
      <c r="P30" s="6">
        <v>2037</v>
      </c>
      <c r="Q30" s="6">
        <v>96.1</v>
      </c>
      <c r="R30" s="37">
        <v>8.3</v>
      </c>
      <c r="S30" s="36">
        <v>932</v>
      </c>
      <c r="T30" s="6">
        <v>1254</v>
      </c>
      <c r="U30" s="37">
        <v>58.31</v>
      </c>
      <c r="V30" s="38">
        <v>1429</v>
      </c>
      <c r="W30" s="6">
        <v>-48.33</v>
      </c>
      <c r="X30" s="6">
        <v>2211</v>
      </c>
      <c r="Y30" s="35">
        <v>2.019</v>
      </c>
    </row>
    <row r="31" spans="1:25" ht="12.75">
      <c r="A31" s="6">
        <v>2023</v>
      </c>
      <c r="B31" s="53">
        <v>44985</v>
      </c>
      <c r="C31" s="37">
        <v>33.19</v>
      </c>
      <c r="D31" s="6">
        <v>1415</v>
      </c>
      <c r="E31" s="37">
        <v>20.09</v>
      </c>
      <c r="F31" s="6">
        <v>617</v>
      </c>
      <c r="G31" s="37">
        <v>25.48</v>
      </c>
      <c r="H31" s="37">
        <v>98.2</v>
      </c>
      <c r="I31" s="6">
        <v>625</v>
      </c>
      <c r="J31" s="6">
        <v>41.67</v>
      </c>
      <c r="K31" s="6">
        <v>1604</v>
      </c>
      <c r="L31" s="37">
        <v>74.6</v>
      </c>
      <c r="M31" s="6">
        <v>0.3</v>
      </c>
      <c r="N31" s="37">
        <v>1.728</v>
      </c>
      <c r="O31" s="54">
        <f>8.6*3.6</f>
        <v>30.96</v>
      </c>
      <c r="P31" s="6">
        <v>2037</v>
      </c>
      <c r="Q31" s="6">
        <v>106.7</v>
      </c>
      <c r="R31" s="37">
        <v>7.63</v>
      </c>
      <c r="S31" s="36">
        <v>881</v>
      </c>
      <c r="T31" s="6">
        <v>1345</v>
      </c>
      <c r="U31" s="37">
        <v>37.5</v>
      </c>
      <c r="V31" s="38">
        <v>1357</v>
      </c>
      <c r="W31" s="6">
        <v>-49.14</v>
      </c>
      <c r="X31" s="6">
        <v>2334</v>
      </c>
      <c r="Y31" s="35">
        <v>1.959</v>
      </c>
    </row>
    <row r="32" spans="3:25" ht="12.75">
      <c r="C32" s="40">
        <f>AVERAGE(C4:C31)</f>
        <v>30.383928571428562</v>
      </c>
      <c r="D32" s="33"/>
      <c r="E32" s="40">
        <f>AVERAGE(E4:E31)</f>
        <v>19.32964285714286</v>
      </c>
      <c r="F32" s="33"/>
      <c r="G32" s="40">
        <f>AVERAGE(G4:G31)</f>
        <v>23.582142857142856</v>
      </c>
      <c r="H32" s="40">
        <f>AVERAGE(H4:H31)</f>
        <v>96.18571428571427</v>
      </c>
      <c r="I32" s="33"/>
      <c r="J32" s="40">
        <f>AVERAGE(J4:J31)</f>
        <v>45.171071428571445</v>
      </c>
      <c r="K32" s="33"/>
      <c r="L32" s="40">
        <f>AVERAGE(L4:L31)</f>
        <v>77.1692857142857</v>
      </c>
      <c r="M32" s="41">
        <f>SUM(M4:M31)</f>
        <v>249.2</v>
      </c>
      <c r="N32" s="33"/>
      <c r="O32" s="33"/>
      <c r="Y32" s="14">
        <f>SUM(Y4:Y31)</f>
        <v>48.516999999999996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headerFooter alignWithMargins="0">
    <oddHeader>&amp;C&amp;"Arial,Negrito"POSTO METEOROLÓGICO - ESTAÇÃO EXPERIMENTAL DE CITRICULTURA DE BEBEDOURO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75" zoomScaleSheetLayoutView="75" zoomScalePageLayoutView="0" workbookViewId="0" topLeftCell="B1">
      <selection activeCell="U3" sqref="U3:Y3"/>
    </sheetView>
  </sheetViews>
  <sheetFormatPr defaultColWidth="9.140625" defaultRowHeight="12.75"/>
  <cols>
    <col min="1" max="1" width="7.281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28125" style="0" customWidth="1"/>
    <col min="13" max="13" width="7.28125" style="0" customWidth="1"/>
    <col min="15" max="15" width="8.7109375" style="0" customWidth="1"/>
    <col min="16" max="16" width="7.7109375" style="0" customWidth="1"/>
    <col min="17" max="17" width="6.57421875" style="0" customWidth="1"/>
    <col min="18" max="18" width="8.00390625" style="0" customWidth="1"/>
    <col min="20" max="20" width="8.7109375" style="0" customWidth="1"/>
    <col min="21" max="21" width="8.28125" style="0" customWidth="1"/>
    <col min="22" max="22" width="7.00390625" style="0" customWidth="1"/>
    <col min="23" max="23" width="7.7109375" style="0" customWidth="1"/>
    <col min="24" max="24" width="7.421875" style="0" customWidth="1"/>
    <col min="25" max="25" width="7.57421875" style="0" customWidth="1"/>
  </cols>
  <sheetData>
    <row r="1" spans="1:25" ht="30">
      <c r="A1" s="71" t="s">
        <v>12</v>
      </c>
      <c r="B1" s="73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18</v>
      </c>
      <c r="H1" s="9" t="s">
        <v>19</v>
      </c>
      <c r="I1" s="9" t="s">
        <v>15</v>
      </c>
      <c r="J1" s="9" t="s">
        <v>20</v>
      </c>
      <c r="K1" s="9" t="s">
        <v>17</v>
      </c>
      <c r="L1" s="9" t="s">
        <v>21</v>
      </c>
      <c r="M1" s="10" t="s">
        <v>22</v>
      </c>
      <c r="N1" s="9" t="s">
        <v>23</v>
      </c>
      <c r="O1" s="9" t="s">
        <v>24</v>
      </c>
      <c r="P1" s="9" t="s">
        <v>15</v>
      </c>
      <c r="Q1" s="9" t="s">
        <v>35</v>
      </c>
      <c r="R1" s="9" t="s">
        <v>25</v>
      </c>
      <c r="S1" s="9" t="s">
        <v>26</v>
      </c>
      <c r="T1" s="10" t="s">
        <v>15</v>
      </c>
      <c r="U1" s="9" t="s">
        <v>27</v>
      </c>
      <c r="V1" s="9" t="s">
        <v>15</v>
      </c>
      <c r="W1" s="9" t="s">
        <v>28</v>
      </c>
      <c r="X1" s="9" t="s">
        <v>17</v>
      </c>
      <c r="Y1" s="10" t="s">
        <v>29</v>
      </c>
    </row>
    <row r="2" spans="1:25" ht="12.75">
      <c r="A2" s="72"/>
      <c r="B2" s="74"/>
      <c r="C2" s="10" t="s">
        <v>30</v>
      </c>
      <c r="D2" s="10"/>
      <c r="E2" s="10" t="s">
        <v>30</v>
      </c>
      <c r="F2" s="10"/>
      <c r="G2" s="10" t="s">
        <v>30</v>
      </c>
      <c r="H2" s="10" t="s">
        <v>31</v>
      </c>
      <c r="I2" s="10"/>
      <c r="J2" s="10" t="s">
        <v>31</v>
      </c>
      <c r="K2" s="10"/>
      <c r="L2" s="10" t="s">
        <v>31</v>
      </c>
      <c r="M2" s="10" t="s">
        <v>32</v>
      </c>
      <c r="N2" s="10" t="s">
        <v>33</v>
      </c>
      <c r="O2" s="10" t="s">
        <v>42</v>
      </c>
      <c r="P2" s="10"/>
      <c r="Q2" s="10"/>
      <c r="R2" s="10" t="s">
        <v>34</v>
      </c>
      <c r="S2" s="10"/>
      <c r="T2" s="10"/>
      <c r="U2" s="10"/>
      <c r="V2" s="10"/>
      <c r="W2" s="10"/>
      <c r="X2" s="10"/>
      <c r="Y2" s="10" t="s">
        <v>32</v>
      </c>
    </row>
    <row r="3" spans="1:25" ht="12.75">
      <c r="A3" s="6">
        <v>2023</v>
      </c>
      <c r="B3" s="55">
        <v>44986</v>
      </c>
      <c r="C3" s="37">
        <v>31.93</v>
      </c>
      <c r="D3" s="6">
        <v>1646</v>
      </c>
      <c r="E3" s="6">
        <v>18.97</v>
      </c>
      <c r="F3" s="6">
        <v>544</v>
      </c>
      <c r="G3" s="37">
        <v>24.15</v>
      </c>
      <c r="H3" s="37">
        <v>95.2</v>
      </c>
      <c r="I3" s="6">
        <v>547</v>
      </c>
      <c r="J3" s="37">
        <v>42.34</v>
      </c>
      <c r="K3" s="6">
        <v>1630</v>
      </c>
      <c r="L3" s="37">
        <v>74.2</v>
      </c>
      <c r="M3" s="6">
        <v>0</v>
      </c>
      <c r="N3" s="34">
        <v>1.434</v>
      </c>
      <c r="O3" s="34">
        <f>7.7*3.6</f>
        <v>27.720000000000002</v>
      </c>
      <c r="P3" s="6">
        <v>2138</v>
      </c>
      <c r="Q3" s="36">
        <v>309.2</v>
      </c>
      <c r="R3" s="6">
        <v>7.42</v>
      </c>
      <c r="S3" s="36">
        <v>875</v>
      </c>
      <c r="T3" s="6">
        <v>1128</v>
      </c>
      <c r="U3" s="37">
        <v>36.46</v>
      </c>
      <c r="V3" s="6">
        <v>1437</v>
      </c>
      <c r="W3" s="34">
        <v>-49.89</v>
      </c>
      <c r="X3" s="6">
        <v>2224</v>
      </c>
      <c r="Y3" s="35">
        <v>1.766</v>
      </c>
    </row>
    <row r="4" spans="1:25" ht="12.75">
      <c r="A4" s="6">
        <v>2023</v>
      </c>
      <c r="B4" s="55">
        <v>44987</v>
      </c>
      <c r="C4" s="37">
        <v>33.06</v>
      </c>
      <c r="D4" s="6">
        <v>1622</v>
      </c>
      <c r="E4" s="6">
        <v>18.11</v>
      </c>
      <c r="F4" s="6">
        <v>556</v>
      </c>
      <c r="G4" s="37">
        <v>24.44</v>
      </c>
      <c r="H4" s="37">
        <v>98.8</v>
      </c>
      <c r="I4" s="6">
        <v>642</v>
      </c>
      <c r="J4" s="37">
        <v>37.89</v>
      </c>
      <c r="K4" s="6">
        <v>1620</v>
      </c>
      <c r="L4" s="37">
        <v>73.5</v>
      </c>
      <c r="M4" s="38">
        <v>0</v>
      </c>
      <c r="N4" s="34">
        <v>0.794</v>
      </c>
      <c r="O4" s="34">
        <f>3.95*3.6</f>
        <v>14.22</v>
      </c>
      <c r="P4" s="6">
        <v>1223</v>
      </c>
      <c r="Q4" s="36">
        <v>0.094</v>
      </c>
      <c r="R4" s="37">
        <v>7.39</v>
      </c>
      <c r="S4" s="36">
        <v>1010</v>
      </c>
      <c r="T4" s="6">
        <v>1327</v>
      </c>
      <c r="U4" s="37">
        <v>39.22</v>
      </c>
      <c r="V4" s="6">
        <v>1326</v>
      </c>
      <c r="W4" s="37">
        <v>-51.84</v>
      </c>
      <c r="X4" s="6">
        <v>2304</v>
      </c>
      <c r="Y4" s="39">
        <v>1.764</v>
      </c>
    </row>
    <row r="5" spans="1:25" ht="12.75">
      <c r="A5" s="6">
        <v>2023</v>
      </c>
      <c r="B5" s="55">
        <v>44988</v>
      </c>
      <c r="C5" s="6">
        <v>32.53</v>
      </c>
      <c r="D5" s="6">
        <v>1525</v>
      </c>
      <c r="E5" s="6">
        <v>19.63</v>
      </c>
      <c r="F5" s="6">
        <v>348</v>
      </c>
      <c r="G5" s="37">
        <v>25.76</v>
      </c>
      <c r="H5" s="37">
        <v>97</v>
      </c>
      <c r="I5" s="6">
        <v>502</v>
      </c>
      <c r="J5" s="37">
        <v>43.07</v>
      </c>
      <c r="K5" s="6">
        <v>1527</v>
      </c>
      <c r="L5" s="37">
        <v>70.7</v>
      </c>
      <c r="M5" s="38">
        <v>0</v>
      </c>
      <c r="N5" s="34">
        <v>1.156</v>
      </c>
      <c r="O5" s="34">
        <f>4.775*3.6</f>
        <v>17.19</v>
      </c>
      <c r="P5" s="6">
        <v>936</v>
      </c>
      <c r="Q5" s="36">
        <v>18.19</v>
      </c>
      <c r="R5" s="37">
        <v>7.75</v>
      </c>
      <c r="S5" s="36">
        <v>892</v>
      </c>
      <c r="T5" s="6">
        <v>1259</v>
      </c>
      <c r="U5" s="37">
        <v>32.17</v>
      </c>
      <c r="V5" s="6">
        <v>1315</v>
      </c>
      <c r="W5" s="37">
        <v>-48.16</v>
      </c>
      <c r="X5" s="6">
        <v>318</v>
      </c>
      <c r="Y5" s="39">
        <v>2.096</v>
      </c>
    </row>
    <row r="6" spans="1:25" ht="12.75">
      <c r="A6" s="6">
        <v>2023</v>
      </c>
      <c r="B6" s="55">
        <v>44989</v>
      </c>
      <c r="C6" s="37">
        <v>32</v>
      </c>
      <c r="D6" s="6">
        <v>1543</v>
      </c>
      <c r="E6" s="6">
        <v>20.62</v>
      </c>
      <c r="F6" s="6">
        <v>545</v>
      </c>
      <c r="G6" s="37">
        <v>24.13</v>
      </c>
      <c r="H6" s="37">
        <v>98.3</v>
      </c>
      <c r="I6" s="6">
        <v>606</v>
      </c>
      <c r="J6" s="37">
        <v>48.84</v>
      </c>
      <c r="K6" s="6">
        <v>1545</v>
      </c>
      <c r="L6" s="37">
        <v>81.5</v>
      </c>
      <c r="M6" s="6">
        <v>3.4</v>
      </c>
      <c r="N6" s="34">
        <v>1.256</v>
      </c>
      <c r="O6" s="34">
        <f>9.8*3.6</f>
        <v>35.28</v>
      </c>
      <c r="P6" s="6">
        <v>1615</v>
      </c>
      <c r="Q6" s="36">
        <v>289.3</v>
      </c>
      <c r="R6" s="37">
        <v>6.448</v>
      </c>
      <c r="S6" s="36">
        <v>1134</v>
      </c>
      <c r="T6" s="6">
        <v>1230</v>
      </c>
      <c r="U6" s="37">
        <v>33.82</v>
      </c>
      <c r="V6" s="6">
        <v>1306</v>
      </c>
      <c r="W6" s="37">
        <v>-48.51</v>
      </c>
      <c r="X6" s="6">
        <v>2259</v>
      </c>
      <c r="Y6" s="6">
        <v>1.669</v>
      </c>
    </row>
    <row r="7" spans="1:25" ht="12.75">
      <c r="A7" s="6">
        <v>2023</v>
      </c>
      <c r="B7" s="55">
        <v>44990</v>
      </c>
      <c r="C7" s="37">
        <v>31.27</v>
      </c>
      <c r="D7" s="6">
        <v>1457</v>
      </c>
      <c r="E7" s="37">
        <v>19.83</v>
      </c>
      <c r="F7" s="6">
        <v>2357</v>
      </c>
      <c r="G7" s="37">
        <v>23.51</v>
      </c>
      <c r="H7" s="37">
        <v>98.9</v>
      </c>
      <c r="I7" s="6">
        <v>608</v>
      </c>
      <c r="J7" s="37">
        <v>49.1</v>
      </c>
      <c r="K7" s="6">
        <v>1546</v>
      </c>
      <c r="L7" s="37">
        <v>83.4</v>
      </c>
      <c r="M7" s="36">
        <v>5.8</v>
      </c>
      <c r="N7" s="34">
        <v>1.181</v>
      </c>
      <c r="O7" s="34">
        <f>6.725*3.6</f>
        <v>24.21</v>
      </c>
      <c r="P7" s="6">
        <v>2103</v>
      </c>
      <c r="Q7" s="36">
        <v>324.5</v>
      </c>
      <c r="R7" s="37">
        <v>6.308</v>
      </c>
      <c r="S7" s="36">
        <v>1119</v>
      </c>
      <c r="T7" s="6">
        <v>1213</v>
      </c>
      <c r="U7" s="37">
        <v>31.62</v>
      </c>
      <c r="V7" s="6">
        <v>1316</v>
      </c>
      <c r="W7" s="37">
        <v>-53.05</v>
      </c>
      <c r="X7" s="6">
        <v>2206</v>
      </c>
      <c r="Y7" s="39">
        <v>1.53</v>
      </c>
    </row>
    <row r="8" spans="1:25" ht="12.75">
      <c r="A8" s="6">
        <v>2023</v>
      </c>
      <c r="B8" s="55">
        <v>44991</v>
      </c>
      <c r="C8" s="37">
        <v>29.22</v>
      </c>
      <c r="D8" s="6">
        <v>1150</v>
      </c>
      <c r="E8" s="37">
        <v>18.38</v>
      </c>
      <c r="F8" s="6">
        <v>548</v>
      </c>
      <c r="G8" s="37">
        <v>22.03</v>
      </c>
      <c r="H8" s="37">
        <v>99.1</v>
      </c>
      <c r="I8" s="6">
        <v>233</v>
      </c>
      <c r="J8" s="37">
        <v>62.12</v>
      </c>
      <c r="K8" s="6">
        <v>1147</v>
      </c>
      <c r="L8" s="37">
        <v>85.8</v>
      </c>
      <c r="M8" s="6">
        <v>6.2</v>
      </c>
      <c r="N8" s="34">
        <v>1.39</v>
      </c>
      <c r="O8" s="34">
        <f>7.55*3.6</f>
        <v>27.18</v>
      </c>
      <c r="P8" s="6">
        <v>1353</v>
      </c>
      <c r="Q8" s="36">
        <v>310.1</v>
      </c>
      <c r="R8" s="37">
        <v>5.941</v>
      </c>
      <c r="S8" s="36">
        <v>1011</v>
      </c>
      <c r="T8" s="6">
        <v>1150</v>
      </c>
      <c r="U8" s="37">
        <v>23.72</v>
      </c>
      <c r="V8" s="6">
        <v>1304</v>
      </c>
      <c r="W8" s="37">
        <v>-46.99</v>
      </c>
      <c r="X8" s="6">
        <v>517</v>
      </c>
      <c r="Y8" s="39">
        <v>1.321</v>
      </c>
    </row>
    <row r="9" spans="1:25" ht="12.75">
      <c r="A9" s="6">
        <v>2023</v>
      </c>
      <c r="B9" s="55">
        <v>44992</v>
      </c>
      <c r="C9" s="6">
        <v>29.42</v>
      </c>
      <c r="D9" s="6">
        <v>1422</v>
      </c>
      <c r="E9" s="6">
        <v>17.98</v>
      </c>
      <c r="F9" s="6">
        <v>539</v>
      </c>
      <c r="G9" s="37">
        <v>22.33</v>
      </c>
      <c r="H9" s="37">
        <v>95.9</v>
      </c>
      <c r="I9" s="6">
        <v>342</v>
      </c>
      <c r="J9" s="37">
        <v>49.44</v>
      </c>
      <c r="K9" s="6">
        <v>1417</v>
      </c>
      <c r="L9" s="37">
        <v>79.9</v>
      </c>
      <c r="M9" s="6">
        <v>0</v>
      </c>
      <c r="N9" s="34">
        <v>1.604</v>
      </c>
      <c r="O9" s="34">
        <f>6.65*3.6</f>
        <v>23.94</v>
      </c>
      <c r="P9" s="6">
        <v>1547</v>
      </c>
      <c r="Q9" s="36">
        <v>0.094</v>
      </c>
      <c r="R9" s="37">
        <v>7.1</v>
      </c>
      <c r="S9" s="36">
        <v>918</v>
      </c>
      <c r="T9" s="6">
        <v>1257</v>
      </c>
      <c r="U9" s="37">
        <v>29.83</v>
      </c>
      <c r="V9" s="6">
        <v>1307</v>
      </c>
      <c r="W9" s="37">
        <v>-52.06</v>
      </c>
      <c r="X9" s="6">
        <v>2241</v>
      </c>
      <c r="Y9" s="35">
        <v>1.846</v>
      </c>
    </row>
    <row r="10" spans="1:25" ht="12.75">
      <c r="A10" s="6">
        <v>2023</v>
      </c>
      <c r="B10" s="55">
        <v>44993</v>
      </c>
      <c r="C10" s="37">
        <v>31.07</v>
      </c>
      <c r="D10" s="6">
        <v>1449</v>
      </c>
      <c r="E10" s="37">
        <v>17.05</v>
      </c>
      <c r="F10" s="6">
        <v>558</v>
      </c>
      <c r="G10" s="37">
        <v>23.45</v>
      </c>
      <c r="H10" s="37">
        <v>97.9</v>
      </c>
      <c r="I10" s="6">
        <v>559</v>
      </c>
      <c r="J10" s="37">
        <v>44.06</v>
      </c>
      <c r="K10" s="6">
        <v>1444</v>
      </c>
      <c r="L10" s="37">
        <v>76.1</v>
      </c>
      <c r="M10" s="6">
        <v>0</v>
      </c>
      <c r="N10" s="34">
        <v>0.961</v>
      </c>
      <c r="O10" s="34">
        <f>6.35*3.6</f>
        <v>22.86</v>
      </c>
      <c r="P10" s="6">
        <v>1747</v>
      </c>
      <c r="Q10" s="36">
        <v>108.9</v>
      </c>
      <c r="R10" s="6">
        <v>7.46</v>
      </c>
      <c r="S10" s="36">
        <v>793</v>
      </c>
      <c r="T10" s="6">
        <v>1213</v>
      </c>
      <c r="U10" s="37">
        <v>31.16</v>
      </c>
      <c r="V10" s="6">
        <v>1224</v>
      </c>
      <c r="W10" s="6">
        <v>-50.23</v>
      </c>
      <c r="X10" s="6">
        <v>411</v>
      </c>
      <c r="Y10" s="35">
        <v>1.921</v>
      </c>
    </row>
    <row r="11" spans="1:25" ht="12.75">
      <c r="A11" s="6">
        <v>2023</v>
      </c>
      <c r="B11" s="55">
        <v>44994</v>
      </c>
      <c r="C11" s="37">
        <v>30.8</v>
      </c>
      <c r="D11" s="6">
        <v>1536</v>
      </c>
      <c r="E11" s="37">
        <v>19.37</v>
      </c>
      <c r="F11" s="6">
        <v>507</v>
      </c>
      <c r="G11" s="37">
        <v>23.96</v>
      </c>
      <c r="H11" s="37">
        <v>97.4</v>
      </c>
      <c r="I11" s="6">
        <v>637</v>
      </c>
      <c r="J11" s="37">
        <v>46.91</v>
      </c>
      <c r="K11" s="6">
        <v>1630</v>
      </c>
      <c r="L11" s="37">
        <v>77.6</v>
      </c>
      <c r="M11" s="6">
        <v>0.4</v>
      </c>
      <c r="N11" s="34">
        <v>1.206</v>
      </c>
      <c r="O11" s="34">
        <f>6.575*3.6</f>
        <v>23.67</v>
      </c>
      <c r="P11" s="6">
        <v>2055</v>
      </c>
      <c r="Q11" s="36">
        <v>94.7</v>
      </c>
      <c r="R11" s="37">
        <v>6.641</v>
      </c>
      <c r="S11" s="36">
        <v>965</v>
      </c>
      <c r="T11" s="6">
        <v>1144</v>
      </c>
      <c r="U11" s="37">
        <v>26.17</v>
      </c>
      <c r="V11" s="6">
        <v>1321</v>
      </c>
      <c r="W11" s="37">
        <v>-46.79</v>
      </c>
      <c r="X11" s="6">
        <v>2237</v>
      </c>
      <c r="Y11" s="35">
        <v>1.773</v>
      </c>
    </row>
    <row r="12" spans="1:25" ht="12.75">
      <c r="A12" s="6">
        <v>2023</v>
      </c>
      <c r="B12" s="55">
        <v>44995</v>
      </c>
      <c r="C12" s="6">
        <v>29.69</v>
      </c>
      <c r="D12" s="6">
        <v>1136</v>
      </c>
      <c r="E12" s="37">
        <v>19.35</v>
      </c>
      <c r="F12" s="6">
        <v>1527</v>
      </c>
      <c r="G12" s="37">
        <v>22.04</v>
      </c>
      <c r="H12" s="37">
        <v>99.9</v>
      </c>
      <c r="I12" s="6">
        <v>2248</v>
      </c>
      <c r="J12" s="37">
        <v>55.55</v>
      </c>
      <c r="K12" s="6">
        <v>1215</v>
      </c>
      <c r="L12" s="37">
        <v>88.1</v>
      </c>
      <c r="M12" s="6">
        <v>57.4</v>
      </c>
      <c r="N12" s="34">
        <v>1.351</v>
      </c>
      <c r="O12" s="34">
        <f>15.05*3.6</f>
        <v>54.18000000000001</v>
      </c>
      <c r="P12" s="6">
        <v>1503</v>
      </c>
      <c r="Q12" s="36">
        <v>186.5</v>
      </c>
      <c r="R12" s="37">
        <v>4.409</v>
      </c>
      <c r="S12" s="36">
        <v>957</v>
      </c>
      <c r="T12" s="6">
        <v>1129</v>
      </c>
      <c r="U12" s="37">
        <v>20.38</v>
      </c>
      <c r="V12" s="6">
        <v>1141</v>
      </c>
      <c r="W12" s="37">
        <v>-130.7</v>
      </c>
      <c r="X12" s="6">
        <v>1514</v>
      </c>
      <c r="Y12" s="35">
        <v>0.946</v>
      </c>
    </row>
    <row r="13" spans="1:26" ht="12.75">
      <c r="A13" s="6">
        <v>2023</v>
      </c>
      <c r="B13" s="55">
        <v>44996</v>
      </c>
      <c r="C13" s="37">
        <v>29.69</v>
      </c>
      <c r="D13" s="6">
        <v>1509</v>
      </c>
      <c r="E13" s="6">
        <v>18.96</v>
      </c>
      <c r="F13" s="6">
        <v>525</v>
      </c>
      <c r="G13" s="37">
        <v>22.09</v>
      </c>
      <c r="H13" s="37">
        <v>99.8</v>
      </c>
      <c r="I13" s="6">
        <v>200</v>
      </c>
      <c r="J13" s="37">
        <v>54.36</v>
      </c>
      <c r="K13" s="6">
        <v>1510</v>
      </c>
      <c r="L13" s="37">
        <v>88.1</v>
      </c>
      <c r="M13" s="6">
        <v>3.9</v>
      </c>
      <c r="N13" s="34">
        <v>0.58</v>
      </c>
      <c r="O13" s="34">
        <f>4.85*3.6</f>
        <v>17.46</v>
      </c>
      <c r="P13" s="6">
        <v>418</v>
      </c>
      <c r="Q13" s="36">
        <v>354.4</v>
      </c>
      <c r="R13" s="37">
        <v>4.851</v>
      </c>
      <c r="S13" s="36">
        <v>793</v>
      </c>
      <c r="T13" s="6">
        <v>1507</v>
      </c>
      <c r="U13" s="37">
        <v>26.66</v>
      </c>
      <c r="V13" s="6">
        <v>1529</v>
      </c>
      <c r="W13" s="37">
        <v>-41.64</v>
      </c>
      <c r="X13" s="6">
        <v>2322</v>
      </c>
      <c r="Y13" s="35">
        <v>1.001</v>
      </c>
      <c r="Z13" s="13"/>
    </row>
    <row r="14" spans="1:25" ht="12.75">
      <c r="A14" s="6">
        <v>2023</v>
      </c>
      <c r="B14" s="55">
        <v>44997</v>
      </c>
      <c r="C14" s="37">
        <v>29.95</v>
      </c>
      <c r="D14" s="6">
        <v>1528</v>
      </c>
      <c r="E14" s="37">
        <v>19.3</v>
      </c>
      <c r="F14" s="6">
        <v>243</v>
      </c>
      <c r="G14" s="37">
        <v>23.52</v>
      </c>
      <c r="H14" s="37">
        <v>99.7</v>
      </c>
      <c r="I14" s="6">
        <v>404</v>
      </c>
      <c r="J14" s="37">
        <v>48.71</v>
      </c>
      <c r="K14" s="6">
        <v>1623</v>
      </c>
      <c r="L14" s="37">
        <v>79.2</v>
      </c>
      <c r="M14" s="36">
        <v>0.3</v>
      </c>
      <c r="N14" s="34">
        <v>1.047</v>
      </c>
      <c r="O14" s="34">
        <f>3.95*3.6</f>
        <v>14.22</v>
      </c>
      <c r="P14" s="6">
        <v>1443</v>
      </c>
      <c r="Q14" s="6">
        <v>322.2</v>
      </c>
      <c r="R14" s="37">
        <v>6.525</v>
      </c>
      <c r="S14" s="36">
        <v>991</v>
      </c>
      <c r="T14" s="6">
        <v>1159</v>
      </c>
      <c r="U14" s="37">
        <v>31.98</v>
      </c>
      <c r="V14" s="6">
        <v>1312</v>
      </c>
      <c r="W14" s="37">
        <v>-46.6</v>
      </c>
      <c r="X14" s="6">
        <v>2356</v>
      </c>
      <c r="Y14" s="6">
        <v>1.593</v>
      </c>
    </row>
    <row r="15" spans="1:25" ht="12.75">
      <c r="A15" s="6">
        <v>2023</v>
      </c>
      <c r="B15" s="55">
        <v>44998</v>
      </c>
      <c r="C15" s="6">
        <v>29.42</v>
      </c>
      <c r="D15" s="6">
        <v>1459</v>
      </c>
      <c r="E15" s="6">
        <v>19.57</v>
      </c>
      <c r="F15" s="6">
        <v>529</v>
      </c>
      <c r="G15" s="37">
        <v>22.03</v>
      </c>
      <c r="H15" s="37">
        <v>97.6</v>
      </c>
      <c r="I15" s="6">
        <v>548</v>
      </c>
      <c r="J15" s="37">
        <v>55.48</v>
      </c>
      <c r="K15" s="6">
        <v>1542</v>
      </c>
      <c r="L15" s="37">
        <v>87.7</v>
      </c>
      <c r="M15" s="6">
        <v>1.2</v>
      </c>
      <c r="N15" s="34">
        <v>1.062</v>
      </c>
      <c r="O15" s="34">
        <f>5.975*3.6</f>
        <v>21.509999999999998</v>
      </c>
      <c r="P15" s="6">
        <v>1632</v>
      </c>
      <c r="Q15" s="36">
        <v>24.22</v>
      </c>
      <c r="R15" s="37">
        <v>4.329</v>
      </c>
      <c r="S15" s="36">
        <v>812</v>
      </c>
      <c r="T15" s="6">
        <v>1336</v>
      </c>
      <c r="U15" s="37">
        <v>50.4</v>
      </c>
      <c r="V15" s="6">
        <v>1250</v>
      </c>
      <c r="W15" s="6">
        <v>-43.21</v>
      </c>
      <c r="X15" s="6">
        <v>138</v>
      </c>
      <c r="Y15" s="35">
        <v>0.943</v>
      </c>
    </row>
    <row r="16" spans="1:25" ht="12.75">
      <c r="A16" s="6">
        <v>2023</v>
      </c>
      <c r="B16" s="55">
        <v>44999</v>
      </c>
      <c r="C16" s="37">
        <v>29.02</v>
      </c>
      <c r="D16" s="6">
        <v>1604</v>
      </c>
      <c r="E16" s="37">
        <v>20.03</v>
      </c>
      <c r="F16" s="6">
        <v>2149</v>
      </c>
      <c r="G16" s="37">
        <v>22.93</v>
      </c>
      <c r="H16" s="37">
        <v>98.8</v>
      </c>
      <c r="I16" s="6">
        <v>519</v>
      </c>
      <c r="J16" s="37">
        <v>59.27</v>
      </c>
      <c r="K16" s="6">
        <v>1616</v>
      </c>
      <c r="L16" s="37">
        <v>86.2</v>
      </c>
      <c r="M16" s="6">
        <v>16.5</v>
      </c>
      <c r="N16" s="34">
        <v>0.799</v>
      </c>
      <c r="O16" s="34">
        <f>4.85*3.6</f>
        <v>17.46</v>
      </c>
      <c r="P16" s="6">
        <v>1608</v>
      </c>
      <c r="Q16" s="36">
        <v>88.1</v>
      </c>
      <c r="R16" s="37">
        <v>5.231</v>
      </c>
      <c r="S16" s="36">
        <v>899</v>
      </c>
      <c r="T16" s="6">
        <v>1332</v>
      </c>
      <c r="U16" s="37">
        <v>26.06</v>
      </c>
      <c r="V16" s="6">
        <v>1326</v>
      </c>
      <c r="W16" s="37">
        <v>-48.5</v>
      </c>
      <c r="X16" s="6">
        <v>2145</v>
      </c>
      <c r="Y16" s="35">
        <v>1.217</v>
      </c>
    </row>
    <row r="17" spans="1:25" ht="12.75">
      <c r="A17" s="6">
        <v>2023</v>
      </c>
      <c r="B17" s="55">
        <v>45000</v>
      </c>
      <c r="C17" s="6">
        <v>30.87</v>
      </c>
      <c r="D17" s="6">
        <v>1450</v>
      </c>
      <c r="E17" s="37">
        <v>19.1</v>
      </c>
      <c r="F17" s="6">
        <v>215</v>
      </c>
      <c r="G17" s="37">
        <v>23</v>
      </c>
      <c r="H17" s="37">
        <v>99.8</v>
      </c>
      <c r="I17" s="6">
        <v>644</v>
      </c>
      <c r="J17" s="37">
        <v>51.23</v>
      </c>
      <c r="K17" s="6">
        <v>1439</v>
      </c>
      <c r="L17" s="37">
        <v>87</v>
      </c>
      <c r="M17" s="6">
        <v>10.4</v>
      </c>
      <c r="N17" s="34">
        <v>1.238</v>
      </c>
      <c r="O17" s="34">
        <f>6.05*3.6</f>
        <v>21.78</v>
      </c>
      <c r="P17" s="6">
        <v>1537</v>
      </c>
      <c r="Q17" s="36">
        <v>56.35</v>
      </c>
      <c r="R17" s="37">
        <v>5.819</v>
      </c>
      <c r="S17" s="36">
        <v>988</v>
      </c>
      <c r="T17" s="6">
        <v>1339</v>
      </c>
      <c r="U17" s="37">
        <v>38.14</v>
      </c>
      <c r="V17" s="6">
        <v>1405</v>
      </c>
      <c r="W17" s="37">
        <v>-47.55</v>
      </c>
      <c r="X17" s="6">
        <v>23</v>
      </c>
      <c r="Y17" s="35">
        <v>1.369</v>
      </c>
    </row>
    <row r="18" spans="1:25" ht="12.75">
      <c r="A18" s="6">
        <v>2023</v>
      </c>
      <c r="B18" s="55">
        <v>45001</v>
      </c>
      <c r="C18" s="37">
        <v>31.53</v>
      </c>
      <c r="D18" s="6">
        <v>1500</v>
      </c>
      <c r="E18" s="37">
        <v>19.83</v>
      </c>
      <c r="F18" s="6">
        <v>618</v>
      </c>
      <c r="G18" s="37">
        <v>24.34</v>
      </c>
      <c r="H18" s="37">
        <v>99.2</v>
      </c>
      <c r="I18" s="6">
        <v>455</v>
      </c>
      <c r="J18" s="37">
        <v>42.73</v>
      </c>
      <c r="K18" s="6">
        <v>1458</v>
      </c>
      <c r="L18" s="37">
        <v>78.7</v>
      </c>
      <c r="M18" s="6">
        <v>0.7</v>
      </c>
      <c r="N18" s="34">
        <v>1.476</v>
      </c>
      <c r="O18" s="34">
        <f>6.575*3.6</f>
        <v>23.67</v>
      </c>
      <c r="P18" s="6">
        <v>1007</v>
      </c>
      <c r="Q18" s="36">
        <v>72.5</v>
      </c>
      <c r="R18" s="37">
        <v>8.3</v>
      </c>
      <c r="S18" s="36">
        <v>928</v>
      </c>
      <c r="T18" s="6">
        <v>1120</v>
      </c>
      <c r="U18" s="37">
        <v>29.2</v>
      </c>
      <c r="V18" s="6">
        <v>1404</v>
      </c>
      <c r="W18" s="6">
        <v>-43.21</v>
      </c>
      <c r="X18" s="6">
        <v>2331</v>
      </c>
      <c r="Y18" s="35">
        <v>2.136</v>
      </c>
    </row>
    <row r="19" spans="1:25" ht="12.75">
      <c r="A19" s="6">
        <v>2023</v>
      </c>
      <c r="B19" s="55">
        <v>45002</v>
      </c>
      <c r="C19" s="6">
        <v>29.48</v>
      </c>
      <c r="D19" s="6">
        <v>1442</v>
      </c>
      <c r="E19" s="6">
        <v>19.69</v>
      </c>
      <c r="F19" s="6">
        <v>339</v>
      </c>
      <c r="G19" s="37">
        <v>23.42</v>
      </c>
      <c r="H19" s="37">
        <v>97.1</v>
      </c>
      <c r="I19" s="6">
        <v>346</v>
      </c>
      <c r="J19" s="37">
        <v>53.16</v>
      </c>
      <c r="K19" s="6">
        <v>1318</v>
      </c>
      <c r="L19" s="37">
        <v>79.9</v>
      </c>
      <c r="M19" s="6">
        <v>0</v>
      </c>
      <c r="N19" s="34">
        <v>1.104</v>
      </c>
      <c r="O19" s="34">
        <f>5*3.6</f>
        <v>18</v>
      </c>
      <c r="P19" s="6">
        <v>1326</v>
      </c>
      <c r="Q19" s="36">
        <v>43.16</v>
      </c>
      <c r="R19" s="37">
        <v>6.868</v>
      </c>
      <c r="S19" s="36">
        <v>803</v>
      </c>
      <c r="T19" s="6">
        <v>1254</v>
      </c>
      <c r="U19" s="37">
        <v>26.51</v>
      </c>
      <c r="V19" s="6">
        <v>1324</v>
      </c>
      <c r="W19" s="6">
        <v>-45.11</v>
      </c>
      <c r="X19" s="6">
        <v>2255</v>
      </c>
      <c r="Y19" s="35">
        <v>1.706</v>
      </c>
    </row>
    <row r="20" spans="1:25" ht="12.75">
      <c r="A20" s="6">
        <v>2023</v>
      </c>
      <c r="B20" s="55">
        <v>45003</v>
      </c>
      <c r="C20" s="37">
        <v>31.48</v>
      </c>
      <c r="D20" s="6">
        <v>1424</v>
      </c>
      <c r="E20" s="37">
        <v>18.97</v>
      </c>
      <c r="F20" s="6">
        <v>612</v>
      </c>
      <c r="G20" s="37">
        <v>23.58</v>
      </c>
      <c r="H20" s="37">
        <v>97.6</v>
      </c>
      <c r="I20" s="6">
        <v>135</v>
      </c>
      <c r="J20" s="37">
        <v>42.21</v>
      </c>
      <c r="K20" s="6">
        <v>1421</v>
      </c>
      <c r="L20" s="37">
        <v>77.8</v>
      </c>
      <c r="M20" s="6">
        <v>0.7</v>
      </c>
      <c r="N20" s="34">
        <v>1.321</v>
      </c>
      <c r="O20" s="34">
        <f>6.35*3.6</f>
        <v>22.86</v>
      </c>
      <c r="P20" s="6">
        <v>1748</v>
      </c>
      <c r="Q20" s="36">
        <v>313.6</v>
      </c>
      <c r="R20" s="37">
        <v>6.651</v>
      </c>
      <c r="S20" s="36">
        <v>838</v>
      </c>
      <c r="T20" s="6">
        <v>1248</v>
      </c>
      <c r="U20" s="37">
        <v>26.25</v>
      </c>
      <c r="V20" s="6">
        <v>1219</v>
      </c>
      <c r="W20" s="37">
        <v>-44.7</v>
      </c>
      <c r="X20" s="6">
        <v>16</v>
      </c>
      <c r="Y20" s="35">
        <v>1.789</v>
      </c>
    </row>
    <row r="21" spans="1:25" ht="12.75">
      <c r="A21" s="6">
        <v>2023</v>
      </c>
      <c r="B21" s="55">
        <v>45004</v>
      </c>
      <c r="C21" s="37">
        <v>32.06</v>
      </c>
      <c r="D21" s="6">
        <v>1546</v>
      </c>
      <c r="E21" s="6">
        <v>20.42</v>
      </c>
      <c r="F21" s="6">
        <v>649</v>
      </c>
      <c r="G21" s="37">
        <v>24.97</v>
      </c>
      <c r="H21" s="37">
        <v>97.4</v>
      </c>
      <c r="I21" s="6">
        <v>707</v>
      </c>
      <c r="J21" s="37">
        <v>38.29</v>
      </c>
      <c r="K21" s="6">
        <v>1620</v>
      </c>
      <c r="L21" s="37">
        <v>74.3</v>
      </c>
      <c r="M21" s="38">
        <v>0</v>
      </c>
      <c r="N21" s="34">
        <v>0.972</v>
      </c>
      <c r="O21" s="34">
        <f>5.3*3.6</f>
        <v>19.08</v>
      </c>
      <c r="P21" s="6">
        <v>1331</v>
      </c>
      <c r="Q21" s="36">
        <v>319.6</v>
      </c>
      <c r="R21" s="6">
        <v>7.78</v>
      </c>
      <c r="S21" s="36">
        <v>1049</v>
      </c>
      <c r="T21" s="6">
        <v>1332</v>
      </c>
      <c r="U21" s="37">
        <v>30.17</v>
      </c>
      <c r="V21" s="6">
        <v>1409</v>
      </c>
      <c r="W21" s="34">
        <v>-40.87</v>
      </c>
      <c r="X21" s="6">
        <v>2146</v>
      </c>
      <c r="Y21" s="35">
        <v>2.049</v>
      </c>
    </row>
    <row r="22" spans="1:25" ht="12.75">
      <c r="A22" s="6">
        <v>2023</v>
      </c>
      <c r="B22" s="55">
        <v>45005</v>
      </c>
      <c r="C22" s="37">
        <v>32.05</v>
      </c>
      <c r="D22" s="6">
        <v>1418</v>
      </c>
      <c r="E22" s="37">
        <v>19.24</v>
      </c>
      <c r="F22" s="6">
        <v>2329</v>
      </c>
      <c r="G22" s="37">
        <v>23.97</v>
      </c>
      <c r="H22" s="37">
        <v>96.9</v>
      </c>
      <c r="I22" s="6">
        <v>2248</v>
      </c>
      <c r="J22" s="37">
        <v>38.82</v>
      </c>
      <c r="K22" s="6">
        <v>1339</v>
      </c>
      <c r="L22" s="37">
        <v>75.7</v>
      </c>
      <c r="M22" s="6">
        <v>5.5</v>
      </c>
      <c r="N22" s="34">
        <v>1.224</v>
      </c>
      <c r="O22" s="34">
        <f>7.1*3.6</f>
        <v>25.56</v>
      </c>
      <c r="P22" s="6">
        <v>1827</v>
      </c>
      <c r="Q22" s="36">
        <v>19.51</v>
      </c>
      <c r="R22" s="37">
        <v>6.96</v>
      </c>
      <c r="S22" s="36">
        <v>923</v>
      </c>
      <c r="T22" s="6">
        <v>1200</v>
      </c>
      <c r="U22" s="37">
        <v>35.82</v>
      </c>
      <c r="V22" s="6">
        <v>1356</v>
      </c>
      <c r="W22" s="37">
        <v>-52.92</v>
      </c>
      <c r="X22" s="6">
        <v>2102</v>
      </c>
      <c r="Y22" s="35">
        <v>1.768</v>
      </c>
    </row>
    <row r="23" spans="1:25" ht="12.75">
      <c r="A23" s="6">
        <v>2023</v>
      </c>
      <c r="B23" s="55">
        <v>45006</v>
      </c>
      <c r="C23" s="6">
        <v>31.86</v>
      </c>
      <c r="D23" s="6">
        <v>1603</v>
      </c>
      <c r="E23" s="6">
        <v>18.24</v>
      </c>
      <c r="F23" s="6">
        <v>554</v>
      </c>
      <c r="G23" s="37">
        <v>24.48</v>
      </c>
      <c r="H23" s="37">
        <v>97.9</v>
      </c>
      <c r="I23" s="6">
        <v>616</v>
      </c>
      <c r="J23" s="37">
        <v>39.28</v>
      </c>
      <c r="K23" s="6">
        <v>1634</v>
      </c>
      <c r="L23" s="37">
        <v>73</v>
      </c>
      <c r="M23" s="38">
        <v>0</v>
      </c>
      <c r="N23" s="34">
        <v>1.024</v>
      </c>
      <c r="O23" s="34">
        <f>5.675*3.6</f>
        <v>20.43</v>
      </c>
      <c r="P23" s="6">
        <v>226</v>
      </c>
      <c r="Q23" s="36">
        <v>99.4</v>
      </c>
      <c r="R23" s="37">
        <v>8.34</v>
      </c>
      <c r="S23" s="36">
        <v>795</v>
      </c>
      <c r="T23" s="6">
        <v>1236</v>
      </c>
      <c r="U23" s="37">
        <v>35.04</v>
      </c>
      <c r="V23" s="6">
        <v>1312</v>
      </c>
      <c r="W23" s="37">
        <v>-47.86</v>
      </c>
      <c r="X23" s="6">
        <v>331</v>
      </c>
      <c r="Y23" s="35">
        <v>2.033</v>
      </c>
    </row>
    <row r="24" spans="1:25" ht="12.75">
      <c r="A24" s="6">
        <v>2023</v>
      </c>
      <c r="B24" s="55">
        <v>45007</v>
      </c>
      <c r="C24" s="37">
        <v>33.06</v>
      </c>
      <c r="D24" s="6">
        <v>1523</v>
      </c>
      <c r="E24" s="37">
        <v>20.09</v>
      </c>
      <c r="F24" s="6">
        <v>216</v>
      </c>
      <c r="G24" s="37">
        <v>24.96</v>
      </c>
      <c r="H24" s="37">
        <v>96.5</v>
      </c>
      <c r="I24" s="6">
        <v>153</v>
      </c>
      <c r="J24" s="37">
        <v>38.62</v>
      </c>
      <c r="K24" s="6">
        <v>1544</v>
      </c>
      <c r="L24" s="37">
        <v>73.2</v>
      </c>
      <c r="M24" s="6">
        <v>6.3</v>
      </c>
      <c r="N24" s="34">
        <v>1.795</v>
      </c>
      <c r="O24" s="34">
        <f>5.975*3.6</f>
        <v>21.509999999999998</v>
      </c>
      <c r="P24" s="6">
        <v>1626</v>
      </c>
      <c r="Q24" s="36">
        <v>53.24</v>
      </c>
      <c r="R24" s="37">
        <v>7.41</v>
      </c>
      <c r="S24" s="36">
        <v>905</v>
      </c>
      <c r="T24" s="6">
        <v>1322</v>
      </c>
      <c r="U24" s="37">
        <v>29.87</v>
      </c>
      <c r="V24" s="6">
        <v>1257</v>
      </c>
      <c r="W24" s="34">
        <v>-53.68</v>
      </c>
      <c r="X24" s="6">
        <v>131</v>
      </c>
      <c r="Y24" s="35">
        <v>2.07</v>
      </c>
    </row>
    <row r="25" spans="1:26" ht="12.75">
      <c r="A25" s="6">
        <v>2023</v>
      </c>
      <c r="B25" s="55">
        <v>45008</v>
      </c>
      <c r="C25" s="37">
        <v>33.39</v>
      </c>
      <c r="D25" s="6">
        <v>1527</v>
      </c>
      <c r="E25" s="37">
        <v>20.49</v>
      </c>
      <c r="F25" s="6">
        <v>443</v>
      </c>
      <c r="G25" s="37">
        <v>25.86</v>
      </c>
      <c r="H25" s="37">
        <v>89.6</v>
      </c>
      <c r="I25" s="6">
        <v>635</v>
      </c>
      <c r="J25" s="37">
        <v>36.83</v>
      </c>
      <c r="K25" s="6">
        <v>1441</v>
      </c>
      <c r="L25" s="37">
        <v>68.37</v>
      </c>
      <c r="M25" s="6">
        <v>0</v>
      </c>
      <c r="N25" s="34">
        <v>1.534</v>
      </c>
      <c r="O25" s="34">
        <f>5.3*3.6</f>
        <v>19.08</v>
      </c>
      <c r="P25" s="6">
        <v>956</v>
      </c>
      <c r="Q25" s="36">
        <v>17.15</v>
      </c>
      <c r="R25" s="6">
        <v>7.95</v>
      </c>
      <c r="S25" s="36">
        <v>833</v>
      </c>
      <c r="T25" s="6">
        <v>1253</v>
      </c>
      <c r="U25" s="37">
        <v>24.28</v>
      </c>
      <c r="V25" s="6">
        <v>1239</v>
      </c>
      <c r="W25" s="37">
        <v>-45.39</v>
      </c>
      <c r="X25" s="6">
        <v>504</v>
      </c>
      <c r="Y25" s="35">
        <v>2.233</v>
      </c>
      <c r="Z25" s="13"/>
    </row>
    <row r="26" spans="1:25" ht="12.75">
      <c r="A26" s="6">
        <v>2023</v>
      </c>
      <c r="B26" s="55">
        <v>45009</v>
      </c>
      <c r="C26" s="37">
        <v>32.78</v>
      </c>
      <c r="D26" s="6">
        <v>1559</v>
      </c>
      <c r="E26" s="6">
        <v>20.89</v>
      </c>
      <c r="F26" s="6">
        <v>624</v>
      </c>
      <c r="G26" s="37">
        <v>26.39</v>
      </c>
      <c r="H26" s="37">
        <v>93.1</v>
      </c>
      <c r="I26" s="6">
        <v>626</v>
      </c>
      <c r="J26" s="37">
        <v>38.75</v>
      </c>
      <c r="K26" s="6">
        <v>1632</v>
      </c>
      <c r="L26" s="37">
        <v>67.12</v>
      </c>
      <c r="M26" s="38">
        <v>0</v>
      </c>
      <c r="N26" s="34">
        <v>0.894</v>
      </c>
      <c r="O26" s="34">
        <f>5.45*3.6</f>
        <v>19.62</v>
      </c>
      <c r="P26" s="6">
        <v>1157</v>
      </c>
      <c r="Q26" s="36">
        <v>15.36</v>
      </c>
      <c r="R26" s="6">
        <v>7.38</v>
      </c>
      <c r="S26" s="36">
        <v>853</v>
      </c>
      <c r="T26" s="6">
        <v>1216</v>
      </c>
      <c r="U26" s="37">
        <v>22.54</v>
      </c>
      <c r="V26" s="6">
        <v>1449</v>
      </c>
      <c r="W26" s="37">
        <v>-44.33</v>
      </c>
      <c r="X26" s="6">
        <v>2345</v>
      </c>
      <c r="Y26" s="35">
        <v>2.056</v>
      </c>
    </row>
    <row r="27" spans="1:25" ht="12.75">
      <c r="A27" s="6">
        <v>2023</v>
      </c>
      <c r="B27" s="55">
        <v>45010</v>
      </c>
      <c r="C27" s="37">
        <v>33.19</v>
      </c>
      <c r="D27" s="6">
        <v>1422</v>
      </c>
      <c r="E27" s="6">
        <v>20.42</v>
      </c>
      <c r="F27" s="6">
        <v>542</v>
      </c>
      <c r="G27" s="37">
        <v>26.59</v>
      </c>
      <c r="H27" s="37">
        <v>91.6</v>
      </c>
      <c r="I27" s="6">
        <v>423</v>
      </c>
      <c r="J27" s="6">
        <v>36.03</v>
      </c>
      <c r="K27" s="6">
        <v>1508</v>
      </c>
      <c r="L27" s="37">
        <v>63.81</v>
      </c>
      <c r="M27" s="38">
        <v>0</v>
      </c>
      <c r="N27" s="34">
        <v>0.844</v>
      </c>
      <c r="O27" s="34">
        <f>4.625*3.6</f>
        <v>16.650000000000002</v>
      </c>
      <c r="P27" s="6">
        <v>1201</v>
      </c>
      <c r="Q27" s="36">
        <v>21.96</v>
      </c>
      <c r="R27" s="6">
        <v>7.44</v>
      </c>
      <c r="S27" s="36">
        <v>795</v>
      </c>
      <c r="T27" s="6">
        <v>1332</v>
      </c>
      <c r="U27" s="37">
        <v>27.13</v>
      </c>
      <c r="V27" s="6">
        <v>1316</v>
      </c>
      <c r="W27" s="37">
        <v>-45.93</v>
      </c>
      <c r="X27" s="6">
        <v>436</v>
      </c>
      <c r="Y27" s="35">
        <v>2.064</v>
      </c>
    </row>
    <row r="28" spans="1:25" ht="12.75">
      <c r="A28" s="6">
        <v>2023</v>
      </c>
      <c r="B28" s="55">
        <v>45011</v>
      </c>
      <c r="C28" s="6">
        <v>33.98</v>
      </c>
      <c r="D28" s="6">
        <v>1412</v>
      </c>
      <c r="E28" s="6">
        <v>19.83</v>
      </c>
      <c r="F28" s="6">
        <v>609</v>
      </c>
      <c r="G28" s="37">
        <v>26.86</v>
      </c>
      <c r="H28" s="37">
        <v>95.2</v>
      </c>
      <c r="I28" s="6">
        <v>610</v>
      </c>
      <c r="J28" s="37">
        <v>34.9</v>
      </c>
      <c r="K28" s="6">
        <v>1413</v>
      </c>
      <c r="L28" s="37">
        <v>64.7</v>
      </c>
      <c r="M28" s="6">
        <v>0</v>
      </c>
      <c r="N28" s="34">
        <v>0.8</v>
      </c>
      <c r="O28" s="34">
        <f>4.1*3.6</f>
        <v>14.76</v>
      </c>
      <c r="P28" s="6">
        <v>1332</v>
      </c>
      <c r="Q28" s="36">
        <v>324.3</v>
      </c>
      <c r="R28" s="6">
        <v>7.18</v>
      </c>
      <c r="S28" s="36">
        <v>824</v>
      </c>
      <c r="T28" s="6">
        <v>1307</v>
      </c>
      <c r="U28" s="37">
        <v>30.18</v>
      </c>
      <c r="V28" s="6">
        <v>1319</v>
      </c>
      <c r="W28" s="37">
        <v>-46.72</v>
      </c>
      <c r="X28" s="6">
        <v>534</v>
      </c>
      <c r="Y28" s="35">
        <v>2.076</v>
      </c>
    </row>
    <row r="29" spans="1:25" ht="12.75">
      <c r="A29" s="6">
        <v>2023</v>
      </c>
      <c r="B29" s="55">
        <v>45012</v>
      </c>
      <c r="C29" s="37">
        <v>32.73</v>
      </c>
      <c r="D29" s="6">
        <v>1322</v>
      </c>
      <c r="E29" s="37">
        <v>20.49</v>
      </c>
      <c r="F29" s="6">
        <v>610</v>
      </c>
      <c r="G29" s="37">
        <v>25.66</v>
      </c>
      <c r="H29" s="37">
        <v>93</v>
      </c>
      <c r="I29" s="6">
        <v>538</v>
      </c>
      <c r="J29" s="37">
        <v>40.54</v>
      </c>
      <c r="K29" s="6">
        <v>1446</v>
      </c>
      <c r="L29" s="37">
        <v>70.3</v>
      </c>
      <c r="M29" s="6">
        <v>0</v>
      </c>
      <c r="N29" s="34">
        <v>1.814</v>
      </c>
      <c r="O29" s="34">
        <f>5.825*3.6</f>
        <v>20.970000000000002</v>
      </c>
      <c r="P29" s="6">
        <v>2256</v>
      </c>
      <c r="Q29" s="36">
        <v>154.6</v>
      </c>
      <c r="R29" s="37">
        <v>6.195</v>
      </c>
      <c r="S29" s="36">
        <v>760</v>
      </c>
      <c r="T29" s="6">
        <v>1241</v>
      </c>
      <c r="U29" s="37">
        <v>23.95</v>
      </c>
      <c r="V29" s="6">
        <v>1336</v>
      </c>
      <c r="W29" s="37">
        <v>-46.51</v>
      </c>
      <c r="X29" s="6">
        <v>516</v>
      </c>
      <c r="Y29" s="35">
        <v>1.988</v>
      </c>
    </row>
    <row r="30" spans="1:25" ht="12.75">
      <c r="A30" s="6">
        <v>2023</v>
      </c>
      <c r="B30" s="55">
        <v>45013</v>
      </c>
      <c r="C30" s="37">
        <v>32.99</v>
      </c>
      <c r="D30" s="6">
        <v>1434</v>
      </c>
      <c r="E30" s="6">
        <v>19.76</v>
      </c>
      <c r="F30" s="6">
        <v>524</v>
      </c>
      <c r="G30" s="37">
        <v>24.83</v>
      </c>
      <c r="H30" s="37">
        <v>97.6</v>
      </c>
      <c r="I30" s="6">
        <v>534</v>
      </c>
      <c r="J30" s="37">
        <v>41.27</v>
      </c>
      <c r="K30" s="6">
        <v>1357</v>
      </c>
      <c r="L30" s="37">
        <v>74</v>
      </c>
      <c r="M30" s="6">
        <v>0</v>
      </c>
      <c r="N30" s="34">
        <v>1.848</v>
      </c>
      <c r="O30" s="34">
        <f>9.2*3.6</f>
        <v>33.12</v>
      </c>
      <c r="P30" s="6">
        <v>1837</v>
      </c>
      <c r="Q30" s="36">
        <v>117.1</v>
      </c>
      <c r="R30" s="37">
        <v>6.553</v>
      </c>
      <c r="S30" s="36">
        <v>816</v>
      </c>
      <c r="T30" s="6">
        <v>1218</v>
      </c>
      <c r="U30" s="37">
        <v>19.36</v>
      </c>
      <c r="V30" s="6">
        <v>1320</v>
      </c>
      <c r="W30" s="34">
        <v>-48.47</v>
      </c>
      <c r="X30" s="6">
        <v>2207</v>
      </c>
      <c r="Y30" s="35">
        <v>1.918</v>
      </c>
    </row>
    <row r="31" spans="1:25" ht="12.75">
      <c r="A31" s="6">
        <v>2023</v>
      </c>
      <c r="B31" s="55">
        <v>45014</v>
      </c>
      <c r="C31" s="37">
        <v>32.59</v>
      </c>
      <c r="D31" s="6">
        <v>1630</v>
      </c>
      <c r="E31" s="6">
        <v>19.17</v>
      </c>
      <c r="F31" s="6">
        <v>611</v>
      </c>
      <c r="G31" s="37">
        <v>24.6</v>
      </c>
      <c r="H31" s="37">
        <v>96.7</v>
      </c>
      <c r="I31" s="6">
        <v>2047</v>
      </c>
      <c r="J31" s="37">
        <v>39.68</v>
      </c>
      <c r="K31" s="6">
        <v>1631</v>
      </c>
      <c r="L31" s="37">
        <v>74.6</v>
      </c>
      <c r="M31" s="6">
        <v>13.4</v>
      </c>
      <c r="N31" s="34">
        <v>2.237</v>
      </c>
      <c r="O31" s="34">
        <f>11.22*3.6</f>
        <v>40.392</v>
      </c>
      <c r="P31" s="6">
        <v>2010</v>
      </c>
      <c r="Q31" s="36">
        <v>102.3</v>
      </c>
      <c r="R31" s="37">
        <v>6.434</v>
      </c>
      <c r="S31" s="36">
        <v>853</v>
      </c>
      <c r="T31" s="6">
        <v>1317</v>
      </c>
      <c r="U31" s="37">
        <v>15.22</v>
      </c>
      <c r="V31" s="6">
        <v>1353</v>
      </c>
      <c r="W31" s="37">
        <v>-58.52</v>
      </c>
      <c r="X31" s="6">
        <v>2102</v>
      </c>
      <c r="Y31" s="35">
        <v>1.983</v>
      </c>
    </row>
    <row r="32" spans="1:25" ht="12.75">
      <c r="A32" s="6">
        <v>2023</v>
      </c>
      <c r="B32" s="55">
        <v>45015</v>
      </c>
      <c r="C32" s="37">
        <v>31.86</v>
      </c>
      <c r="D32" s="6">
        <v>1440</v>
      </c>
      <c r="E32" s="6">
        <v>19.17</v>
      </c>
      <c r="F32" s="6">
        <v>608</v>
      </c>
      <c r="G32" s="37">
        <v>24.62</v>
      </c>
      <c r="H32" s="37">
        <v>96.2</v>
      </c>
      <c r="I32" s="6">
        <v>620</v>
      </c>
      <c r="J32" s="37">
        <v>44.72</v>
      </c>
      <c r="K32" s="6">
        <v>1441</v>
      </c>
      <c r="L32" s="37">
        <v>74.8</v>
      </c>
      <c r="M32" s="6">
        <v>3.1</v>
      </c>
      <c r="N32" s="34">
        <v>1.515</v>
      </c>
      <c r="O32" s="34">
        <f>6.425*3.6</f>
        <v>23.13</v>
      </c>
      <c r="P32" s="6">
        <v>626</v>
      </c>
      <c r="Q32" s="36">
        <v>67.99</v>
      </c>
      <c r="R32" s="37">
        <v>6.995</v>
      </c>
      <c r="S32" s="36">
        <v>870</v>
      </c>
      <c r="T32" s="6">
        <v>1234</v>
      </c>
      <c r="U32" s="37">
        <v>29.38</v>
      </c>
      <c r="V32" s="6">
        <v>1404</v>
      </c>
      <c r="W32" s="37">
        <v>-46.17</v>
      </c>
      <c r="X32" s="6">
        <v>146</v>
      </c>
      <c r="Y32" s="35">
        <v>1.921</v>
      </c>
    </row>
    <row r="33" spans="1:26" ht="12.75">
      <c r="A33" s="6">
        <v>2023</v>
      </c>
      <c r="B33" s="55">
        <v>45016</v>
      </c>
      <c r="C33" s="37">
        <v>32.66</v>
      </c>
      <c r="D33" s="6">
        <v>1525</v>
      </c>
      <c r="E33" s="37">
        <v>20.23</v>
      </c>
      <c r="F33" s="6">
        <v>635</v>
      </c>
      <c r="G33" s="37">
        <v>26.16</v>
      </c>
      <c r="H33" s="37">
        <v>97.2</v>
      </c>
      <c r="I33" s="6">
        <v>642</v>
      </c>
      <c r="J33" s="6">
        <v>40.34</v>
      </c>
      <c r="K33" s="6">
        <v>1411</v>
      </c>
      <c r="L33" s="37">
        <v>71.5</v>
      </c>
      <c r="M33" s="6">
        <v>0</v>
      </c>
      <c r="N33" s="34">
        <v>0.983</v>
      </c>
      <c r="O33" s="34">
        <f>5.525*3.6</f>
        <v>19.89</v>
      </c>
      <c r="P33" s="6">
        <v>1441</v>
      </c>
      <c r="Q33" s="36">
        <v>235.1</v>
      </c>
      <c r="R33" s="6">
        <v>7.02</v>
      </c>
      <c r="S33" s="36">
        <v>857</v>
      </c>
      <c r="T33" s="6">
        <v>1230</v>
      </c>
      <c r="U33" s="37">
        <v>27.72</v>
      </c>
      <c r="V33" s="6">
        <v>1310</v>
      </c>
      <c r="W33" s="37">
        <v>-43.79</v>
      </c>
      <c r="X33" s="6">
        <v>625</v>
      </c>
      <c r="Y33" s="35">
        <v>2.121</v>
      </c>
      <c r="Z33" s="26"/>
    </row>
    <row r="34" spans="3:25" ht="12.75">
      <c r="C34" s="40">
        <f>AVERAGE(C3:C33)</f>
        <v>31.536451612903225</v>
      </c>
      <c r="D34" s="33"/>
      <c r="E34" s="40">
        <f>AVERAGE(E3:E33)</f>
        <v>19.45741935483871</v>
      </c>
      <c r="F34" s="33"/>
      <c r="G34" s="40">
        <f>AVERAGE(G3:G33)</f>
        <v>24.214838709677423</v>
      </c>
      <c r="H34" s="40">
        <f>AVERAGE(H3:H33)</f>
        <v>96.99677419354835</v>
      </c>
      <c r="I34" s="33"/>
      <c r="J34" s="40">
        <f>AVERAGE(J3:J33)</f>
        <v>44.98516129032258</v>
      </c>
      <c r="K34" s="33"/>
      <c r="L34" s="40">
        <f>AVERAGE(L3:L33)</f>
        <v>76.80000000000001</v>
      </c>
      <c r="M34" s="41">
        <f>SUM(M3:M33)</f>
        <v>135.20000000000002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41">
        <f>SUM(Y3:Y33)</f>
        <v>54.66599999999999</v>
      </c>
    </row>
  </sheetData>
  <sheetProtection/>
  <mergeCells count="2">
    <mergeCell ref="A1:A2"/>
    <mergeCell ref="B1:B2"/>
  </mergeCell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headerFooter alignWithMargins="0">
    <oddHeader>&amp;C&amp;"Arial,Negrito"POSTO METEOROLÓGICO - ESTAÇÃO EXPERIMENTAL DE CITRICULTURA DE BEBEDOURO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75" zoomScaleSheetLayoutView="75" zoomScalePageLayoutView="0" workbookViewId="0" topLeftCell="B1">
      <selection activeCell="U3" sqref="U3:Y3"/>
    </sheetView>
  </sheetViews>
  <sheetFormatPr defaultColWidth="9.140625" defaultRowHeight="12.75"/>
  <cols>
    <col min="1" max="1" width="7.281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281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8.00390625" style="0" customWidth="1"/>
    <col min="20" max="20" width="8.7109375" style="0" customWidth="1"/>
    <col min="21" max="21" width="8.28125" style="0" customWidth="1"/>
    <col min="22" max="22" width="7.00390625" style="0" customWidth="1"/>
    <col min="23" max="24" width="7.7109375" style="0" customWidth="1"/>
    <col min="25" max="25" width="7.57421875" style="0" customWidth="1"/>
  </cols>
  <sheetData>
    <row r="1" spans="1:25" ht="30">
      <c r="A1" s="71" t="s">
        <v>12</v>
      </c>
      <c r="B1" s="73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18</v>
      </c>
      <c r="H1" s="9" t="s">
        <v>19</v>
      </c>
      <c r="I1" s="9" t="s">
        <v>15</v>
      </c>
      <c r="J1" s="9" t="s">
        <v>20</v>
      </c>
      <c r="K1" s="9" t="s">
        <v>17</v>
      </c>
      <c r="L1" s="9" t="s">
        <v>21</v>
      </c>
      <c r="M1" s="10" t="s">
        <v>22</v>
      </c>
      <c r="N1" s="9" t="s">
        <v>23</v>
      </c>
      <c r="O1" s="9" t="s">
        <v>24</v>
      </c>
      <c r="P1" s="9" t="s">
        <v>15</v>
      </c>
      <c r="Q1" s="9" t="s">
        <v>35</v>
      </c>
      <c r="R1" s="9" t="s">
        <v>25</v>
      </c>
      <c r="S1" s="9" t="s">
        <v>26</v>
      </c>
      <c r="T1" s="10" t="s">
        <v>15</v>
      </c>
      <c r="U1" s="9" t="s">
        <v>27</v>
      </c>
      <c r="V1" s="9" t="s">
        <v>15</v>
      </c>
      <c r="W1" s="9" t="s">
        <v>28</v>
      </c>
      <c r="X1" s="9" t="s">
        <v>17</v>
      </c>
      <c r="Y1" s="10" t="s">
        <v>29</v>
      </c>
    </row>
    <row r="2" spans="1:25" ht="12.75">
      <c r="A2" s="72"/>
      <c r="B2" s="74"/>
      <c r="C2" s="10" t="s">
        <v>30</v>
      </c>
      <c r="D2" s="10"/>
      <c r="E2" s="10" t="s">
        <v>30</v>
      </c>
      <c r="F2" s="10"/>
      <c r="G2" s="10" t="s">
        <v>30</v>
      </c>
      <c r="H2" s="10" t="s">
        <v>31</v>
      </c>
      <c r="I2" s="10"/>
      <c r="J2" s="10" t="s">
        <v>31</v>
      </c>
      <c r="K2" s="10"/>
      <c r="L2" s="10" t="s">
        <v>31</v>
      </c>
      <c r="M2" s="10" t="s">
        <v>32</v>
      </c>
      <c r="N2" s="10" t="s">
        <v>33</v>
      </c>
      <c r="O2" s="10" t="s">
        <v>42</v>
      </c>
      <c r="P2" s="10"/>
      <c r="Q2" s="10"/>
      <c r="R2" s="10" t="s">
        <v>34</v>
      </c>
      <c r="S2" s="10"/>
      <c r="T2" s="10"/>
      <c r="U2" s="10"/>
      <c r="V2" s="10"/>
      <c r="W2" s="10"/>
      <c r="X2" s="10"/>
      <c r="Y2" s="10" t="s">
        <v>32</v>
      </c>
    </row>
    <row r="3" spans="1:25" ht="12.75">
      <c r="A3" s="6">
        <v>2023</v>
      </c>
      <c r="B3" s="53">
        <v>45017</v>
      </c>
      <c r="C3" s="54">
        <v>32.06</v>
      </c>
      <c r="D3" s="46">
        <v>1354</v>
      </c>
      <c r="E3" s="54">
        <v>19.1</v>
      </c>
      <c r="F3" s="46">
        <v>518</v>
      </c>
      <c r="G3" s="46">
        <v>25.13</v>
      </c>
      <c r="H3" s="54">
        <v>98.5</v>
      </c>
      <c r="I3" s="46">
        <v>535</v>
      </c>
      <c r="J3" s="46">
        <v>31.65</v>
      </c>
      <c r="K3" s="46">
        <v>1536</v>
      </c>
      <c r="L3" s="54">
        <v>67.48</v>
      </c>
      <c r="M3" s="46">
        <v>0</v>
      </c>
      <c r="N3" s="54">
        <v>1.219</v>
      </c>
      <c r="O3" s="54">
        <f>5.825*3.6</f>
        <v>20.970000000000002</v>
      </c>
      <c r="P3" s="46">
        <v>1343</v>
      </c>
      <c r="Q3" s="44">
        <v>232.6</v>
      </c>
      <c r="R3" s="54">
        <v>7.24</v>
      </c>
      <c r="S3" s="44">
        <v>801</v>
      </c>
      <c r="T3" s="46">
        <v>1238</v>
      </c>
      <c r="U3" s="54">
        <v>16.45</v>
      </c>
      <c r="V3" s="46">
        <v>1425</v>
      </c>
      <c r="W3" s="54">
        <v>-48.32</v>
      </c>
      <c r="X3" s="46">
        <v>535</v>
      </c>
      <c r="Y3" s="47">
        <v>2.285</v>
      </c>
    </row>
    <row r="4" spans="1:25" ht="12.75">
      <c r="A4" s="6">
        <v>2023</v>
      </c>
      <c r="B4" s="53">
        <v>45018</v>
      </c>
      <c r="C4" s="46">
        <v>31.47</v>
      </c>
      <c r="D4" s="46">
        <v>1332</v>
      </c>
      <c r="E4" s="54">
        <v>18.51</v>
      </c>
      <c r="F4" s="46">
        <v>337</v>
      </c>
      <c r="G4" s="54">
        <v>24.49</v>
      </c>
      <c r="H4" s="54">
        <v>90.2</v>
      </c>
      <c r="I4" s="46">
        <v>628</v>
      </c>
      <c r="J4" s="54">
        <v>32.91</v>
      </c>
      <c r="K4" s="46">
        <v>1505</v>
      </c>
      <c r="L4" s="54">
        <v>65.53</v>
      </c>
      <c r="M4" s="46">
        <v>0</v>
      </c>
      <c r="N4" s="54">
        <v>2.435</v>
      </c>
      <c r="O4" s="54">
        <f>6.425*3.6</f>
        <v>23.13</v>
      </c>
      <c r="P4" s="46">
        <v>850</v>
      </c>
      <c r="Q4" s="44">
        <v>99.2</v>
      </c>
      <c r="R4" s="54">
        <v>7.06</v>
      </c>
      <c r="S4" s="44">
        <v>674.9</v>
      </c>
      <c r="T4" s="46">
        <v>1223</v>
      </c>
      <c r="U4" s="46">
        <v>16.29</v>
      </c>
      <c r="V4" s="46">
        <v>1318</v>
      </c>
      <c r="W4" s="54">
        <v>-49.53</v>
      </c>
      <c r="X4" s="46">
        <v>209</v>
      </c>
      <c r="Y4" s="47">
        <v>2.461</v>
      </c>
    </row>
    <row r="5" spans="1:25" ht="12.75">
      <c r="A5" s="6">
        <v>2023</v>
      </c>
      <c r="B5" s="53">
        <v>45019</v>
      </c>
      <c r="C5" s="54">
        <v>30.94</v>
      </c>
      <c r="D5" s="46">
        <v>1347</v>
      </c>
      <c r="E5" s="46">
        <v>17.11</v>
      </c>
      <c r="F5" s="46">
        <v>624</v>
      </c>
      <c r="G5" s="54">
        <v>22.4</v>
      </c>
      <c r="H5" s="54">
        <v>92.3</v>
      </c>
      <c r="I5" s="46">
        <v>629</v>
      </c>
      <c r="J5" s="54">
        <v>45.52</v>
      </c>
      <c r="K5" s="46">
        <v>1349</v>
      </c>
      <c r="L5" s="54">
        <v>73.4</v>
      </c>
      <c r="M5" s="56">
        <v>0</v>
      </c>
      <c r="N5" s="54">
        <v>2.327</v>
      </c>
      <c r="O5" s="54">
        <f>9.95*3.6</f>
        <v>35.82</v>
      </c>
      <c r="P5" s="46">
        <v>1708</v>
      </c>
      <c r="Q5" s="44">
        <v>35.44</v>
      </c>
      <c r="R5" s="54">
        <v>6.021</v>
      </c>
      <c r="S5" s="44">
        <v>874</v>
      </c>
      <c r="T5" s="46">
        <v>1255</v>
      </c>
      <c r="U5" s="46">
        <v>21.39</v>
      </c>
      <c r="V5" s="46">
        <v>1352</v>
      </c>
      <c r="W5" s="54">
        <v>-55.4</v>
      </c>
      <c r="X5" s="46">
        <v>158</v>
      </c>
      <c r="Y5" s="47">
        <v>1.74</v>
      </c>
    </row>
    <row r="6" spans="1:25" ht="12.75">
      <c r="A6" s="6">
        <v>2023</v>
      </c>
      <c r="B6" s="53">
        <v>45020</v>
      </c>
      <c r="C6" s="46">
        <v>31.13</v>
      </c>
      <c r="D6" s="46">
        <v>1610</v>
      </c>
      <c r="E6" s="46">
        <v>16.98</v>
      </c>
      <c r="F6" s="46">
        <v>314</v>
      </c>
      <c r="G6" s="54">
        <v>23</v>
      </c>
      <c r="H6" s="54">
        <v>97.2</v>
      </c>
      <c r="I6" s="46">
        <v>536</v>
      </c>
      <c r="J6" s="54">
        <v>38.35</v>
      </c>
      <c r="K6" s="46">
        <v>1530</v>
      </c>
      <c r="L6" s="54">
        <v>72.4</v>
      </c>
      <c r="M6" s="46">
        <v>0</v>
      </c>
      <c r="N6" s="54">
        <v>1.192</v>
      </c>
      <c r="O6" s="54">
        <f>6.95*3.6</f>
        <v>25.02</v>
      </c>
      <c r="P6" s="46">
        <v>1841</v>
      </c>
      <c r="Q6" s="44">
        <v>5.278</v>
      </c>
      <c r="R6" s="54">
        <v>7.03</v>
      </c>
      <c r="S6" s="44">
        <v>775</v>
      </c>
      <c r="T6" s="46">
        <v>1250</v>
      </c>
      <c r="U6" s="54">
        <v>16.73</v>
      </c>
      <c r="V6" s="46">
        <v>1240</v>
      </c>
      <c r="W6" s="54">
        <v>-47.86</v>
      </c>
      <c r="X6" s="46">
        <v>110</v>
      </c>
      <c r="Y6" s="47">
        <v>1.928</v>
      </c>
    </row>
    <row r="7" spans="1:25" ht="12.75">
      <c r="A7" s="6">
        <v>2023</v>
      </c>
      <c r="B7" s="53">
        <v>45021</v>
      </c>
      <c r="C7" s="46">
        <v>31.41</v>
      </c>
      <c r="D7" s="46">
        <v>1626</v>
      </c>
      <c r="E7" s="54">
        <v>17.31</v>
      </c>
      <c r="F7" s="46">
        <v>535</v>
      </c>
      <c r="G7" s="46">
        <v>22.93</v>
      </c>
      <c r="H7" s="54">
        <v>95.6</v>
      </c>
      <c r="I7" s="46">
        <v>308</v>
      </c>
      <c r="J7" s="54">
        <v>37.56</v>
      </c>
      <c r="K7" s="46">
        <v>1609</v>
      </c>
      <c r="L7" s="54">
        <v>72.8</v>
      </c>
      <c r="M7" s="46">
        <v>0</v>
      </c>
      <c r="N7" s="54">
        <v>1.29</v>
      </c>
      <c r="O7" s="54">
        <f>7.17*3.6</f>
        <v>25.812</v>
      </c>
      <c r="P7" s="46">
        <v>1652</v>
      </c>
      <c r="Q7" s="44">
        <v>17.06</v>
      </c>
      <c r="R7" s="54">
        <v>5.477</v>
      </c>
      <c r="S7" s="44">
        <v>941</v>
      </c>
      <c r="T7" s="46">
        <v>1224</v>
      </c>
      <c r="U7" s="54">
        <v>12.12</v>
      </c>
      <c r="V7" s="46">
        <v>1235</v>
      </c>
      <c r="W7" s="54">
        <v>-52.29</v>
      </c>
      <c r="X7" s="46">
        <v>517</v>
      </c>
      <c r="Y7" s="47">
        <v>1.606</v>
      </c>
    </row>
    <row r="8" spans="1:25" ht="12.75">
      <c r="A8" s="6">
        <v>2023</v>
      </c>
      <c r="B8" s="53">
        <v>45022</v>
      </c>
      <c r="C8" s="54">
        <v>31.6</v>
      </c>
      <c r="D8" s="46">
        <v>1409</v>
      </c>
      <c r="E8" s="46">
        <v>18.18</v>
      </c>
      <c r="F8" s="46">
        <v>326</v>
      </c>
      <c r="G8" s="54">
        <v>23.45</v>
      </c>
      <c r="H8" s="54">
        <v>92.8</v>
      </c>
      <c r="I8" s="46">
        <v>628</v>
      </c>
      <c r="J8" s="54">
        <v>36.9</v>
      </c>
      <c r="K8" s="46">
        <v>1321</v>
      </c>
      <c r="L8" s="54">
        <v>72.2</v>
      </c>
      <c r="M8" s="46">
        <v>1.3</v>
      </c>
      <c r="N8" s="54">
        <v>2.347</v>
      </c>
      <c r="O8" s="54">
        <f>8.52*3.6</f>
        <v>30.672</v>
      </c>
      <c r="P8" s="46">
        <v>1742</v>
      </c>
      <c r="Q8" s="44">
        <v>319.4</v>
      </c>
      <c r="R8" s="54">
        <v>6.231</v>
      </c>
      <c r="S8" s="44">
        <v>786</v>
      </c>
      <c r="T8" s="46">
        <v>1306</v>
      </c>
      <c r="U8" s="54">
        <v>14.82</v>
      </c>
      <c r="V8" s="46">
        <v>1236</v>
      </c>
      <c r="W8" s="54">
        <v>-43.39</v>
      </c>
      <c r="X8" s="46">
        <v>32</v>
      </c>
      <c r="Y8" s="47">
        <v>2.013</v>
      </c>
    </row>
    <row r="9" spans="1:25" ht="12.75">
      <c r="A9" s="6">
        <v>2023</v>
      </c>
      <c r="B9" s="53">
        <v>45023</v>
      </c>
      <c r="C9" s="54">
        <v>27.56</v>
      </c>
      <c r="D9" s="46">
        <v>1604</v>
      </c>
      <c r="E9" s="54">
        <v>19.23</v>
      </c>
      <c r="F9" s="46">
        <v>522</v>
      </c>
      <c r="G9" s="46">
        <v>22.68</v>
      </c>
      <c r="H9" s="54">
        <v>99.1</v>
      </c>
      <c r="I9" s="46">
        <v>802</v>
      </c>
      <c r="J9" s="54">
        <v>64.84</v>
      </c>
      <c r="K9" s="46">
        <v>1610</v>
      </c>
      <c r="L9" s="54">
        <v>85.4</v>
      </c>
      <c r="M9" s="46">
        <v>4.1</v>
      </c>
      <c r="N9" s="54">
        <v>1.721</v>
      </c>
      <c r="O9" s="54">
        <f>9.27*3.6</f>
        <v>33.372</v>
      </c>
      <c r="P9" s="46">
        <v>425</v>
      </c>
      <c r="Q9" s="44">
        <v>247.4</v>
      </c>
      <c r="R9" s="54">
        <v>4.078</v>
      </c>
      <c r="S9" s="44">
        <v>932</v>
      </c>
      <c r="T9" s="46">
        <v>1159</v>
      </c>
      <c r="U9" s="54">
        <v>6.809</v>
      </c>
      <c r="V9" s="46">
        <v>1222</v>
      </c>
      <c r="W9" s="46">
        <v>-40.87</v>
      </c>
      <c r="X9" s="46">
        <v>14</v>
      </c>
      <c r="Y9" s="47">
        <v>0.994</v>
      </c>
    </row>
    <row r="10" spans="1:25" ht="12.75">
      <c r="A10" s="6">
        <v>2023</v>
      </c>
      <c r="B10" s="53">
        <v>45024</v>
      </c>
      <c r="C10" s="46">
        <v>27.56</v>
      </c>
      <c r="D10" s="46">
        <v>1228</v>
      </c>
      <c r="E10" s="54">
        <v>19.1</v>
      </c>
      <c r="F10" s="46">
        <v>2359</v>
      </c>
      <c r="G10" s="54">
        <v>21.63</v>
      </c>
      <c r="H10" s="54">
        <v>99.3</v>
      </c>
      <c r="I10" s="46">
        <v>714</v>
      </c>
      <c r="J10" s="54">
        <v>62.65</v>
      </c>
      <c r="K10" s="46">
        <v>1229</v>
      </c>
      <c r="L10" s="54">
        <v>91.4</v>
      </c>
      <c r="M10" s="46">
        <v>22.7</v>
      </c>
      <c r="N10" s="54">
        <v>1.106</v>
      </c>
      <c r="O10" s="54">
        <f>5.975*3.6</f>
        <v>21.509999999999998</v>
      </c>
      <c r="P10" s="46">
        <v>2132</v>
      </c>
      <c r="Q10" s="44">
        <v>103.7</v>
      </c>
      <c r="R10" s="54">
        <v>3.063</v>
      </c>
      <c r="S10" s="44">
        <v>828</v>
      </c>
      <c r="T10" s="46">
        <v>1101</v>
      </c>
      <c r="U10" s="54">
        <v>7.25</v>
      </c>
      <c r="V10" s="46">
        <v>1150</v>
      </c>
      <c r="W10" s="46">
        <v>-45.53</v>
      </c>
      <c r="X10" s="46">
        <v>148</v>
      </c>
      <c r="Y10" s="47">
        <v>0.61</v>
      </c>
    </row>
    <row r="11" spans="1:25" ht="12.75">
      <c r="A11" s="6">
        <v>2023</v>
      </c>
      <c r="B11" s="53">
        <v>45025</v>
      </c>
      <c r="C11" s="54">
        <v>25.44</v>
      </c>
      <c r="D11" s="46">
        <v>1612</v>
      </c>
      <c r="E11" s="54">
        <v>19.03</v>
      </c>
      <c r="F11" s="46">
        <v>114</v>
      </c>
      <c r="G11" s="54">
        <v>21.49</v>
      </c>
      <c r="H11" s="54">
        <v>99.1</v>
      </c>
      <c r="I11" s="46">
        <v>227</v>
      </c>
      <c r="J11" s="54">
        <v>69.69</v>
      </c>
      <c r="K11" s="46">
        <v>1609</v>
      </c>
      <c r="L11" s="54">
        <v>90.5</v>
      </c>
      <c r="M11" s="46">
        <v>0</v>
      </c>
      <c r="N11" s="54">
        <v>1.33</v>
      </c>
      <c r="O11" s="54">
        <f>4.325*3.6</f>
        <v>15.57</v>
      </c>
      <c r="P11" s="46">
        <v>1512</v>
      </c>
      <c r="Q11" s="44">
        <v>179.7</v>
      </c>
      <c r="R11" s="54">
        <v>3.822</v>
      </c>
      <c r="S11" s="44">
        <v>768</v>
      </c>
      <c r="T11" s="46">
        <v>1441</v>
      </c>
      <c r="U11" s="54">
        <v>-4.569</v>
      </c>
      <c r="V11" s="46">
        <v>1504</v>
      </c>
      <c r="W11" s="54">
        <v>-39.52</v>
      </c>
      <c r="X11" s="46">
        <v>2237</v>
      </c>
      <c r="Y11" s="47">
        <v>0.815</v>
      </c>
    </row>
    <row r="12" spans="1:25" ht="12.75">
      <c r="A12" s="6">
        <v>2023</v>
      </c>
      <c r="B12" s="53">
        <v>45026</v>
      </c>
      <c r="C12" s="54">
        <v>29.48</v>
      </c>
      <c r="D12" s="46">
        <v>1409</v>
      </c>
      <c r="E12" s="54">
        <v>17.51</v>
      </c>
      <c r="F12" s="46">
        <v>459</v>
      </c>
      <c r="G12" s="54">
        <v>22.66</v>
      </c>
      <c r="H12" s="54">
        <v>98.2</v>
      </c>
      <c r="I12" s="46">
        <v>503</v>
      </c>
      <c r="J12" s="54">
        <v>45.52</v>
      </c>
      <c r="K12" s="46">
        <v>1506</v>
      </c>
      <c r="L12" s="54">
        <v>78.3</v>
      </c>
      <c r="M12" s="46">
        <v>0</v>
      </c>
      <c r="N12" s="54">
        <v>1.875</v>
      </c>
      <c r="O12" s="54">
        <f>5.6*3.6</f>
        <v>20.16</v>
      </c>
      <c r="P12" s="46">
        <v>832</v>
      </c>
      <c r="Q12" s="44">
        <v>87.8</v>
      </c>
      <c r="R12" s="54">
        <v>6.891</v>
      </c>
      <c r="S12" s="44">
        <v>770</v>
      </c>
      <c r="T12" s="46">
        <v>1209</v>
      </c>
      <c r="U12" s="54">
        <v>41.43</v>
      </c>
      <c r="V12" s="46">
        <v>1255</v>
      </c>
      <c r="W12" s="54">
        <v>-44.18</v>
      </c>
      <c r="X12" s="46">
        <v>2358</v>
      </c>
      <c r="Y12" s="47">
        <v>1.691</v>
      </c>
    </row>
    <row r="13" spans="1:26" ht="12.75">
      <c r="A13" s="6">
        <v>2023</v>
      </c>
      <c r="B13" s="53">
        <v>45027</v>
      </c>
      <c r="C13" s="54">
        <v>30.61</v>
      </c>
      <c r="D13" s="46">
        <v>1555</v>
      </c>
      <c r="E13" s="54">
        <v>17.18</v>
      </c>
      <c r="F13" s="46">
        <v>620</v>
      </c>
      <c r="G13" s="54">
        <v>23.22</v>
      </c>
      <c r="H13" s="54">
        <v>97.3</v>
      </c>
      <c r="I13" s="46">
        <v>2353</v>
      </c>
      <c r="J13" s="54">
        <v>45.99</v>
      </c>
      <c r="K13" s="46">
        <v>1556</v>
      </c>
      <c r="L13" s="54">
        <v>75.1</v>
      </c>
      <c r="M13" s="46">
        <v>4.7</v>
      </c>
      <c r="N13" s="54">
        <v>2.016</v>
      </c>
      <c r="O13" s="54">
        <f>6.275*3.6</f>
        <v>22.590000000000003</v>
      </c>
      <c r="P13" s="46">
        <v>2137</v>
      </c>
      <c r="Q13" s="44">
        <v>5.468</v>
      </c>
      <c r="R13" s="54">
        <v>6.173</v>
      </c>
      <c r="S13" s="44">
        <v>852</v>
      </c>
      <c r="T13" s="46">
        <v>1226</v>
      </c>
      <c r="U13" s="54">
        <v>27.53</v>
      </c>
      <c r="V13" s="46">
        <v>1206</v>
      </c>
      <c r="W13" s="54">
        <v>-46.36</v>
      </c>
      <c r="X13" s="46">
        <v>2232</v>
      </c>
      <c r="Y13" s="47">
        <v>1.68</v>
      </c>
      <c r="Z13" s="13"/>
    </row>
    <row r="14" spans="1:25" ht="12.75">
      <c r="A14" s="6">
        <v>2023</v>
      </c>
      <c r="B14" s="53">
        <v>45028</v>
      </c>
      <c r="C14" s="54">
        <v>27.1</v>
      </c>
      <c r="D14" s="46">
        <v>1402</v>
      </c>
      <c r="E14" s="46">
        <v>18.97</v>
      </c>
      <c r="F14" s="46">
        <v>604</v>
      </c>
      <c r="G14" s="54">
        <v>22.13</v>
      </c>
      <c r="H14" s="54">
        <v>98.8</v>
      </c>
      <c r="I14" s="46">
        <v>130</v>
      </c>
      <c r="J14" s="54">
        <v>64.97</v>
      </c>
      <c r="K14" s="46">
        <v>1403</v>
      </c>
      <c r="L14" s="54">
        <v>88.7</v>
      </c>
      <c r="M14" s="46">
        <v>10.3</v>
      </c>
      <c r="N14" s="54">
        <v>1.641</v>
      </c>
      <c r="O14" s="54">
        <f>5.225*3.6</f>
        <v>18.81</v>
      </c>
      <c r="P14" s="46">
        <v>1046</v>
      </c>
      <c r="Q14" s="44">
        <v>15.08</v>
      </c>
      <c r="R14" s="54">
        <v>4.531</v>
      </c>
      <c r="S14" s="44">
        <v>898</v>
      </c>
      <c r="T14" s="46">
        <v>1240</v>
      </c>
      <c r="U14" s="54">
        <v>30.57</v>
      </c>
      <c r="V14" s="46">
        <v>1259</v>
      </c>
      <c r="W14" s="46">
        <v>-55.99</v>
      </c>
      <c r="X14" s="46">
        <v>100</v>
      </c>
      <c r="Y14" s="47">
        <v>0.988</v>
      </c>
    </row>
    <row r="15" spans="1:25" ht="12.75">
      <c r="A15" s="6">
        <v>2023</v>
      </c>
      <c r="B15" s="53">
        <v>45029</v>
      </c>
      <c r="C15" s="54">
        <v>29.48</v>
      </c>
      <c r="D15" s="46">
        <v>1316</v>
      </c>
      <c r="E15" s="54">
        <v>18.7</v>
      </c>
      <c r="F15" s="46">
        <v>617</v>
      </c>
      <c r="G15" s="54">
        <v>23.06</v>
      </c>
      <c r="H15" s="54">
        <v>99.8</v>
      </c>
      <c r="I15" s="46">
        <v>639</v>
      </c>
      <c r="J15" s="54">
        <v>54.28</v>
      </c>
      <c r="K15" s="46">
        <v>1310</v>
      </c>
      <c r="L15" s="54">
        <v>82.9</v>
      </c>
      <c r="M15" s="46">
        <v>0.3</v>
      </c>
      <c r="N15" s="54">
        <v>0.827</v>
      </c>
      <c r="O15" s="54">
        <f>5.525*3.6</f>
        <v>19.89</v>
      </c>
      <c r="P15" s="46">
        <v>1627</v>
      </c>
      <c r="Q15" s="44">
        <v>104.8</v>
      </c>
      <c r="R15" s="54">
        <v>6.145</v>
      </c>
      <c r="S15" s="44">
        <v>897</v>
      </c>
      <c r="T15" s="46">
        <v>1211</v>
      </c>
      <c r="U15" s="54">
        <v>41.47</v>
      </c>
      <c r="V15" s="46">
        <v>1308</v>
      </c>
      <c r="W15" s="54">
        <v>-44.34</v>
      </c>
      <c r="X15" s="46">
        <v>2316</v>
      </c>
      <c r="Y15" s="47">
        <v>1.453</v>
      </c>
    </row>
    <row r="16" spans="1:25" ht="12.75">
      <c r="A16" s="6">
        <v>2023</v>
      </c>
      <c r="B16" s="53">
        <v>45030</v>
      </c>
      <c r="C16" s="37">
        <v>24.58</v>
      </c>
      <c r="D16" s="6">
        <v>1606</v>
      </c>
      <c r="E16" s="37">
        <v>19.3</v>
      </c>
      <c r="F16" s="6">
        <v>2351</v>
      </c>
      <c r="G16" s="54">
        <v>21.18</v>
      </c>
      <c r="H16" s="37">
        <v>99.5</v>
      </c>
      <c r="I16" s="6">
        <v>2339</v>
      </c>
      <c r="J16" s="37">
        <v>79.5</v>
      </c>
      <c r="K16" s="6">
        <v>1113</v>
      </c>
      <c r="L16" s="54">
        <v>93.7</v>
      </c>
      <c r="M16" s="6">
        <v>27.2</v>
      </c>
      <c r="N16" s="37">
        <v>0.663</v>
      </c>
      <c r="O16" s="37">
        <f>5.975*3.6</f>
        <v>21.509999999999998</v>
      </c>
      <c r="P16" s="6">
        <v>1300</v>
      </c>
      <c r="Q16" s="36">
        <v>163.1</v>
      </c>
      <c r="R16" s="37">
        <v>2.481</v>
      </c>
      <c r="S16" s="36">
        <v>498.3</v>
      </c>
      <c r="T16" s="6">
        <v>1001</v>
      </c>
      <c r="U16" s="37">
        <v>6.736</v>
      </c>
      <c r="V16" s="6">
        <v>1520</v>
      </c>
      <c r="W16" s="37">
        <v>-49.69</v>
      </c>
      <c r="X16" s="6">
        <v>1737</v>
      </c>
      <c r="Y16" s="35">
        <v>0.409</v>
      </c>
    </row>
    <row r="17" spans="1:25" ht="12.75">
      <c r="A17" s="6">
        <v>2023</v>
      </c>
      <c r="B17" s="53">
        <v>45031</v>
      </c>
      <c r="C17" s="37">
        <v>28.23</v>
      </c>
      <c r="D17" s="6">
        <v>1621</v>
      </c>
      <c r="E17" s="37">
        <v>17.38</v>
      </c>
      <c r="F17" s="6">
        <v>624</v>
      </c>
      <c r="G17" s="54">
        <v>22.08</v>
      </c>
      <c r="H17" s="37">
        <v>99.7</v>
      </c>
      <c r="I17" s="6">
        <v>357</v>
      </c>
      <c r="J17" s="37">
        <v>55.48</v>
      </c>
      <c r="K17" s="6">
        <v>1609</v>
      </c>
      <c r="L17" s="54">
        <v>83.4</v>
      </c>
      <c r="M17" s="36">
        <v>0.1</v>
      </c>
      <c r="N17" s="37">
        <v>0.674</v>
      </c>
      <c r="O17" s="37">
        <f>4.4*3.6</f>
        <v>15.840000000000002</v>
      </c>
      <c r="P17" s="6">
        <v>1029</v>
      </c>
      <c r="Q17" s="36">
        <v>103.1</v>
      </c>
      <c r="R17" s="37">
        <v>6.203</v>
      </c>
      <c r="S17" s="36">
        <v>762</v>
      </c>
      <c r="T17" s="6">
        <v>1110</v>
      </c>
      <c r="U17" s="37">
        <v>34.01</v>
      </c>
      <c r="V17" s="6">
        <v>1329</v>
      </c>
      <c r="W17" s="37">
        <v>-43.62</v>
      </c>
      <c r="X17" s="6">
        <v>432</v>
      </c>
      <c r="Y17" s="35">
        <v>1.337</v>
      </c>
    </row>
    <row r="18" spans="1:25" ht="12.75">
      <c r="A18" s="6">
        <v>2023</v>
      </c>
      <c r="B18" s="53">
        <v>45032</v>
      </c>
      <c r="C18" s="37">
        <v>30.01</v>
      </c>
      <c r="D18" s="6">
        <v>1453</v>
      </c>
      <c r="E18" s="37">
        <v>17.51</v>
      </c>
      <c r="F18" s="6">
        <v>621</v>
      </c>
      <c r="G18" s="54">
        <v>23.15</v>
      </c>
      <c r="H18" s="37">
        <v>95.3</v>
      </c>
      <c r="I18" s="6">
        <v>623</v>
      </c>
      <c r="J18" s="37">
        <v>46.58</v>
      </c>
      <c r="K18" s="6">
        <v>1454</v>
      </c>
      <c r="L18" s="54">
        <v>73</v>
      </c>
      <c r="M18" s="38">
        <v>0</v>
      </c>
      <c r="N18" s="37">
        <v>1.275</v>
      </c>
      <c r="O18" s="37">
        <f>4.7*3.6</f>
        <v>16.92</v>
      </c>
      <c r="P18" s="6">
        <v>1034</v>
      </c>
      <c r="Q18" s="36">
        <v>50.81</v>
      </c>
      <c r="R18" s="6">
        <v>7.51</v>
      </c>
      <c r="S18" s="36">
        <v>808</v>
      </c>
      <c r="T18" s="6">
        <v>1226</v>
      </c>
      <c r="U18" s="37">
        <v>48.47</v>
      </c>
      <c r="V18" s="6">
        <v>1303</v>
      </c>
      <c r="W18" s="37">
        <v>-45.86</v>
      </c>
      <c r="X18" s="6">
        <v>2312</v>
      </c>
      <c r="Y18" s="35">
        <v>1.728</v>
      </c>
    </row>
    <row r="19" spans="1:25" ht="12.75">
      <c r="A19" s="6">
        <v>2023</v>
      </c>
      <c r="B19" s="53">
        <v>45033</v>
      </c>
      <c r="C19" s="37">
        <v>29.69</v>
      </c>
      <c r="D19" s="6">
        <v>1519</v>
      </c>
      <c r="E19" s="37">
        <v>19.04</v>
      </c>
      <c r="F19" s="6">
        <v>640</v>
      </c>
      <c r="G19" s="54">
        <v>23.42</v>
      </c>
      <c r="H19" s="37">
        <v>96.1</v>
      </c>
      <c r="I19" s="6">
        <v>722</v>
      </c>
      <c r="J19" s="37">
        <v>52.03</v>
      </c>
      <c r="K19" s="6">
        <v>1521</v>
      </c>
      <c r="L19" s="54">
        <v>77.5</v>
      </c>
      <c r="M19" s="36">
        <v>0.7</v>
      </c>
      <c r="N19" s="37">
        <v>1.055</v>
      </c>
      <c r="O19" s="37">
        <f>6.65*3.6</f>
        <v>23.94</v>
      </c>
      <c r="P19" s="6">
        <v>1953</v>
      </c>
      <c r="Q19" s="36">
        <v>159.3</v>
      </c>
      <c r="R19" s="37">
        <v>4.933</v>
      </c>
      <c r="S19" s="36">
        <v>841</v>
      </c>
      <c r="T19" s="6">
        <v>1219</v>
      </c>
      <c r="U19" s="37">
        <v>38.87</v>
      </c>
      <c r="V19" s="6">
        <v>1212</v>
      </c>
      <c r="W19" s="37">
        <v>-46.79</v>
      </c>
      <c r="X19" s="6">
        <v>44</v>
      </c>
      <c r="Y19" s="35">
        <v>1.32</v>
      </c>
    </row>
    <row r="20" spans="1:25" ht="12.75">
      <c r="A20" s="6">
        <v>2023</v>
      </c>
      <c r="B20" s="53">
        <v>45034</v>
      </c>
      <c r="C20" s="37">
        <v>28.96</v>
      </c>
      <c r="D20" s="6">
        <v>1418</v>
      </c>
      <c r="E20" s="37">
        <v>20.16</v>
      </c>
      <c r="F20" s="6">
        <v>311</v>
      </c>
      <c r="G20" s="54">
        <v>23.8</v>
      </c>
      <c r="H20" s="37">
        <v>98.5</v>
      </c>
      <c r="I20" s="6">
        <v>325</v>
      </c>
      <c r="J20" s="37">
        <v>60.06</v>
      </c>
      <c r="K20" s="6">
        <v>1435</v>
      </c>
      <c r="L20" s="54">
        <v>85</v>
      </c>
      <c r="M20" s="36">
        <v>1.1</v>
      </c>
      <c r="N20" s="37">
        <v>1.502</v>
      </c>
      <c r="O20" s="37">
        <f>8.3*3.6</f>
        <v>29.880000000000003</v>
      </c>
      <c r="P20" s="6">
        <v>1358</v>
      </c>
      <c r="Q20" s="36">
        <v>293.5</v>
      </c>
      <c r="R20" s="37">
        <v>4.412</v>
      </c>
      <c r="S20" s="36">
        <v>793</v>
      </c>
      <c r="T20" s="6">
        <v>1144</v>
      </c>
      <c r="U20" s="37">
        <v>16.76</v>
      </c>
      <c r="V20" s="6">
        <v>1148</v>
      </c>
      <c r="W20" s="37">
        <v>-42.52</v>
      </c>
      <c r="X20" s="6">
        <v>150</v>
      </c>
      <c r="Y20" s="35">
        <v>1.269</v>
      </c>
    </row>
    <row r="21" spans="1:25" ht="12.75">
      <c r="A21" s="6">
        <v>2023</v>
      </c>
      <c r="B21" s="53">
        <v>45035</v>
      </c>
      <c r="C21" s="37">
        <v>26.9</v>
      </c>
      <c r="D21" s="6">
        <v>1354</v>
      </c>
      <c r="E21" s="37">
        <v>16.32</v>
      </c>
      <c r="F21" s="6">
        <v>2359</v>
      </c>
      <c r="G21" s="54">
        <v>21.45</v>
      </c>
      <c r="H21" s="37">
        <v>99.2</v>
      </c>
      <c r="I21" s="6">
        <v>323</v>
      </c>
      <c r="J21" s="37">
        <v>49.25</v>
      </c>
      <c r="K21" s="6">
        <v>1403</v>
      </c>
      <c r="L21" s="54">
        <v>81.2</v>
      </c>
      <c r="M21" s="36">
        <v>11.5</v>
      </c>
      <c r="N21" s="37">
        <v>2.319</v>
      </c>
      <c r="O21" s="37">
        <f>11.15*3.6</f>
        <v>40.14</v>
      </c>
      <c r="P21" s="6">
        <v>33</v>
      </c>
      <c r="Q21" s="36">
        <v>280.2</v>
      </c>
      <c r="R21" s="37">
        <v>5.627</v>
      </c>
      <c r="S21" s="36">
        <v>820</v>
      </c>
      <c r="T21" s="6">
        <v>1143</v>
      </c>
      <c r="U21" s="37">
        <v>31.67</v>
      </c>
      <c r="V21" s="6">
        <v>1302</v>
      </c>
      <c r="W21" s="6">
        <v>-57.21</v>
      </c>
      <c r="X21" s="6">
        <v>300</v>
      </c>
      <c r="Y21" s="6">
        <v>1.548</v>
      </c>
    </row>
    <row r="22" spans="1:25" ht="12.75">
      <c r="A22" s="6">
        <v>2023</v>
      </c>
      <c r="B22" s="53">
        <v>45036</v>
      </c>
      <c r="C22" s="46">
        <v>24.25</v>
      </c>
      <c r="D22" s="46">
        <v>1454</v>
      </c>
      <c r="E22" s="54">
        <v>14.2</v>
      </c>
      <c r="F22" s="46">
        <v>552</v>
      </c>
      <c r="G22" s="54">
        <v>18.59</v>
      </c>
      <c r="H22" s="54">
        <v>82.4</v>
      </c>
      <c r="I22" s="46">
        <v>0</v>
      </c>
      <c r="J22" s="54">
        <v>38.76</v>
      </c>
      <c r="K22" s="46">
        <v>1351</v>
      </c>
      <c r="L22" s="54">
        <v>64.07</v>
      </c>
      <c r="M22" s="46">
        <v>0</v>
      </c>
      <c r="N22" s="54">
        <v>1.666</v>
      </c>
      <c r="O22" s="54">
        <f>6.275*3.6</f>
        <v>22.590000000000003</v>
      </c>
      <c r="P22" s="46">
        <v>927</v>
      </c>
      <c r="Q22" s="44">
        <v>163.1</v>
      </c>
      <c r="R22" s="54">
        <v>7.05</v>
      </c>
      <c r="S22" s="44">
        <v>659.8</v>
      </c>
      <c r="T22" s="46">
        <v>1201</v>
      </c>
      <c r="U22" s="54">
        <v>26.13</v>
      </c>
      <c r="V22" s="46">
        <v>1310</v>
      </c>
      <c r="W22" s="46">
        <v>-55.27</v>
      </c>
      <c r="X22" s="46">
        <v>422</v>
      </c>
      <c r="Y22" s="45">
        <v>1.935</v>
      </c>
    </row>
    <row r="23" spans="1:25" ht="12.75">
      <c r="A23" s="6">
        <v>2023</v>
      </c>
      <c r="B23" s="53">
        <v>45037</v>
      </c>
      <c r="C23" s="46">
        <v>26.43</v>
      </c>
      <c r="D23" s="46">
        <v>1438</v>
      </c>
      <c r="E23" s="54">
        <v>11.68</v>
      </c>
      <c r="F23" s="46">
        <v>627</v>
      </c>
      <c r="G23" s="54">
        <v>18.77</v>
      </c>
      <c r="H23" s="54">
        <v>92.7</v>
      </c>
      <c r="I23" s="46">
        <v>629</v>
      </c>
      <c r="J23" s="54">
        <v>40.69</v>
      </c>
      <c r="K23" s="46">
        <v>1400</v>
      </c>
      <c r="L23" s="54">
        <v>69.46</v>
      </c>
      <c r="M23" s="46">
        <v>0</v>
      </c>
      <c r="N23" s="54">
        <v>2.052</v>
      </c>
      <c r="O23" s="54">
        <f>3.6*6.725</f>
        <v>24.21</v>
      </c>
      <c r="P23" s="46">
        <v>1045</v>
      </c>
      <c r="Q23" s="44">
        <v>101</v>
      </c>
      <c r="R23" s="54">
        <v>7.02</v>
      </c>
      <c r="S23" s="44">
        <v>605.9</v>
      </c>
      <c r="T23" s="46">
        <v>1226</v>
      </c>
      <c r="U23" s="54">
        <v>31.29</v>
      </c>
      <c r="V23" s="46">
        <v>1330</v>
      </c>
      <c r="W23" s="54">
        <v>-53.34</v>
      </c>
      <c r="X23" s="46">
        <v>550</v>
      </c>
      <c r="Y23" s="45">
        <v>1.851</v>
      </c>
    </row>
    <row r="24" spans="1:25" ht="12.75">
      <c r="A24" s="6">
        <v>2023</v>
      </c>
      <c r="B24" s="53">
        <v>45038</v>
      </c>
      <c r="C24" s="54">
        <v>29.02</v>
      </c>
      <c r="D24" s="46">
        <v>1356</v>
      </c>
      <c r="E24" s="54">
        <v>15.39</v>
      </c>
      <c r="F24" s="46">
        <v>427</v>
      </c>
      <c r="G24" s="54">
        <v>21.35</v>
      </c>
      <c r="H24" s="54">
        <v>94.4</v>
      </c>
      <c r="I24" s="46">
        <v>2359</v>
      </c>
      <c r="J24" s="54">
        <v>51.44</v>
      </c>
      <c r="K24" s="46">
        <v>1356</v>
      </c>
      <c r="L24" s="54">
        <v>76.1</v>
      </c>
      <c r="M24" s="46">
        <v>0</v>
      </c>
      <c r="N24" s="54">
        <v>2.195</v>
      </c>
      <c r="O24" s="54">
        <f>7.17*3.6</f>
        <v>25.812</v>
      </c>
      <c r="P24" s="46">
        <v>1119</v>
      </c>
      <c r="Q24" s="44">
        <v>77.3</v>
      </c>
      <c r="R24" s="54">
        <v>6.327</v>
      </c>
      <c r="S24" s="44">
        <v>803</v>
      </c>
      <c r="T24" s="46">
        <v>1341</v>
      </c>
      <c r="U24" s="46">
        <v>35.21</v>
      </c>
      <c r="V24" s="46">
        <v>1328</v>
      </c>
      <c r="W24" s="46">
        <v>-44.62</v>
      </c>
      <c r="X24" s="46">
        <v>359</v>
      </c>
      <c r="Y24" s="47">
        <v>1.882</v>
      </c>
    </row>
    <row r="25" spans="1:26" ht="12.75">
      <c r="A25" s="6">
        <v>2023</v>
      </c>
      <c r="B25" s="53">
        <v>45039</v>
      </c>
      <c r="C25" s="46">
        <v>28.89</v>
      </c>
      <c r="D25" s="46">
        <v>1509</v>
      </c>
      <c r="E25" s="46">
        <v>15.79</v>
      </c>
      <c r="F25" s="46">
        <v>625</v>
      </c>
      <c r="G25" s="54">
        <v>21.21</v>
      </c>
      <c r="H25" s="54">
        <v>96.3</v>
      </c>
      <c r="I25" s="46">
        <v>621</v>
      </c>
      <c r="J25" s="54">
        <v>40.22</v>
      </c>
      <c r="K25" s="46">
        <v>1507</v>
      </c>
      <c r="L25" s="54">
        <v>72.7</v>
      </c>
      <c r="M25" s="46">
        <v>0</v>
      </c>
      <c r="N25" s="54">
        <v>1.737</v>
      </c>
      <c r="O25" s="54">
        <f>5.825*3.6</f>
        <v>20.970000000000002</v>
      </c>
      <c r="P25" s="46">
        <v>1024</v>
      </c>
      <c r="Q25" s="44">
        <v>56.28</v>
      </c>
      <c r="R25" s="54">
        <v>5.983</v>
      </c>
      <c r="S25" s="44">
        <v>635.5</v>
      </c>
      <c r="T25" s="46">
        <v>1209</v>
      </c>
      <c r="U25" s="54">
        <v>30.2</v>
      </c>
      <c r="V25" s="46">
        <v>1256</v>
      </c>
      <c r="W25" s="54">
        <v>-47.32</v>
      </c>
      <c r="X25" s="46">
        <v>2354</v>
      </c>
      <c r="Y25" s="47">
        <v>1.718</v>
      </c>
      <c r="Z25" s="32"/>
    </row>
    <row r="26" spans="1:25" ht="12.75">
      <c r="A26" s="6">
        <v>2023</v>
      </c>
      <c r="B26" s="53">
        <v>45040</v>
      </c>
      <c r="C26" s="54">
        <v>29.02</v>
      </c>
      <c r="D26" s="46">
        <v>1452</v>
      </c>
      <c r="E26" s="54">
        <v>14.33</v>
      </c>
      <c r="F26" s="46">
        <v>611</v>
      </c>
      <c r="G26" s="54">
        <v>20.96</v>
      </c>
      <c r="H26" s="54">
        <v>88.8</v>
      </c>
      <c r="I26" s="46">
        <v>611</v>
      </c>
      <c r="J26" s="46">
        <v>29.14</v>
      </c>
      <c r="K26" s="46">
        <v>1419</v>
      </c>
      <c r="L26" s="54">
        <v>64.96</v>
      </c>
      <c r="M26" s="46">
        <v>0</v>
      </c>
      <c r="N26" s="54">
        <v>1.788</v>
      </c>
      <c r="O26" s="54">
        <f>6.2*3.6</f>
        <v>22.32</v>
      </c>
      <c r="P26" s="46">
        <v>1000</v>
      </c>
      <c r="Q26" s="44">
        <v>74.1</v>
      </c>
      <c r="R26" s="54">
        <v>6.137</v>
      </c>
      <c r="S26" s="44">
        <v>631.4</v>
      </c>
      <c r="T26" s="46">
        <v>1220</v>
      </c>
      <c r="U26" s="54">
        <v>34.03</v>
      </c>
      <c r="V26" s="46">
        <v>1255</v>
      </c>
      <c r="W26" s="54">
        <v>-48.95</v>
      </c>
      <c r="X26" s="46">
        <v>335</v>
      </c>
      <c r="Y26" s="47">
        <v>1.939</v>
      </c>
    </row>
    <row r="27" spans="1:25" ht="12.75">
      <c r="A27" s="6">
        <v>2023</v>
      </c>
      <c r="B27" s="53">
        <v>45041</v>
      </c>
      <c r="C27" s="54">
        <v>28.16</v>
      </c>
      <c r="D27" s="46">
        <v>1541</v>
      </c>
      <c r="E27" s="46">
        <v>15.06</v>
      </c>
      <c r="F27" s="46">
        <v>516</v>
      </c>
      <c r="G27" s="54">
        <v>21.21</v>
      </c>
      <c r="H27" s="54">
        <v>89.3</v>
      </c>
      <c r="I27" s="46">
        <v>409</v>
      </c>
      <c r="J27" s="54">
        <v>46.26</v>
      </c>
      <c r="K27" s="46">
        <v>1543</v>
      </c>
      <c r="L27" s="54">
        <v>71</v>
      </c>
      <c r="M27" s="46">
        <v>0</v>
      </c>
      <c r="N27" s="54">
        <v>1.126</v>
      </c>
      <c r="O27" s="54">
        <f>4.55*3.6</f>
        <v>16.38</v>
      </c>
      <c r="P27" s="46">
        <v>742</v>
      </c>
      <c r="Q27" s="44">
        <v>95.2</v>
      </c>
      <c r="R27" s="54">
        <v>4.231</v>
      </c>
      <c r="S27" s="44">
        <v>810</v>
      </c>
      <c r="T27" s="46">
        <v>1129</v>
      </c>
      <c r="U27" s="54">
        <v>19.87</v>
      </c>
      <c r="V27" s="46">
        <v>1143</v>
      </c>
      <c r="W27" s="46">
        <v>-48.58</v>
      </c>
      <c r="X27" s="46">
        <v>601</v>
      </c>
      <c r="Y27" s="45">
        <v>1.151</v>
      </c>
    </row>
    <row r="28" spans="1:25" ht="12.75">
      <c r="A28" s="6">
        <v>2023</v>
      </c>
      <c r="B28" s="53">
        <v>45042</v>
      </c>
      <c r="C28" s="54">
        <v>22.15</v>
      </c>
      <c r="D28" s="46">
        <v>904</v>
      </c>
      <c r="E28" s="54">
        <v>17.45</v>
      </c>
      <c r="F28" s="46">
        <v>2050</v>
      </c>
      <c r="G28" s="54">
        <v>19.44</v>
      </c>
      <c r="H28" s="54">
        <v>99.4</v>
      </c>
      <c r="I28" s="46">
        <v>2251</v>
      </c>
      <c r="J28" s="54">
        <v>73.2</v>
      </c>
      <c r="K28" s="46">
        <v>9</v>
      </c>
      <c r="L28" s="54">
        <v>89.8</v>
      </c>
      <c r="M28" s="46">
        <v>12.7</v>
      </c>
      <c r="N28" s="54">
        <v>0.92</v>
      </c>
      <c r="O28" s="54">
        <f>7.85*3.6</f>
        <v>28.259999999999998</v>
      </c>
      <c r="P28" s="46">
        <v>938</v>
      </c>
      <c r="Q28" s="44">
        <v>216.3</v>
      </c>
      <c r="R28" s="54">
        <v>1.653</v>
      </c>
      <c r="S28" s="44">
        <v>183.6</v>
      </c>
      <c r="T28" s="46">
        <v>1601</v>
      </c>
      <c r="U28" s="54">
        <v>-5.134</v>
      </c>
      <c r="V28" s="46">
        <v>1526</v>
      </c>
      <c r="W28" s="46">
        <v>-52.24</v>
      </c>
      <c r="X28" s="46">
        <v>2155</v>
      </c>
      <c r="Y28" s="45">
        <v>0.286</v>
      </c>
    </row>
    <row r="29" spans="1:25" ht="12.75">
      <c r="A29" s="6">
        <v>2023</v>
      </c>
      <c r="B29" s="53">
        <v>45043</v>
      </c>
      <c r="C29" s="54">
        <v>26.24</v>
      </c>
      <c r="D29" s="46">
        <v>1256</v>
      </c>
      <c r="E29" s="46">
        <v>15.52</v>
      </c>
      <c r="F29" s="46">
        <v>648</v>
      </c>
      <c r="G29" s="54">
        <v>20.33</v>
      </c>
      <c r="H29" s="54">
        <v>99.8</v>
      </c>
      <c r="I29" s="46">
        <v>217</v>
      </c>
      <c r="J29" s="54">
        <v>62.12</v>
      </c>
      <c r="K29" s="46">
        <v>1140</v>
      </c>
      <c r="L29" s="54">
        <v>89.6</v>
      </c>
      <c r="M29" s="46">
        <v>1.7</v>
      </c>
      <c r="N29" s="54">
        <v>0.667</v>
      </c>
      <c r="O29" s="54">
        <f>8*3.6</f>
        <v>28.8</v>
      </c>
      <c r="P29" s="46">
        <v>1624</v>
      </c>
      <c r="Q29" s="44">
        <v>237</v>
      </c>
      <c r="R29" s="54">
        <v>4.374</v>
      </c>
      <c r="S29" s="44">
        <v>768</v>
      </c>
      <c r="T29" s="46">
        <v>1212</v>
      </c>
      <c r="U29" s="54">
        <v>32.9</v>
      </c>
      <c r="V29" s="46">
        <v>1139</v>
      </c>
      <c r="W29" s="54">
        <v>-45.91</v>
      </c>
      <c r="X29" s="46">
        <v>257</v>
      </c>
      <c r="Y29" s="45">
        <v>0.933</v>
      </c>
    </row>
    <row r="30" spans="1:25" ht="12.75">
      <c r="A30" s="6">
        <v>2023</v>
      </c>
      <c r="B30" s="53">
        <v>45044</v>
      </c>
      <c r="C30" s="54">
        <v>27.1</v>
      </c>
      <c r="D30" s="46">
        <v>1402</v>
      </c>
      <c r="E30" s="54">
        <v>15.73</v>
      </c>
      <c r="F30" s="46">
        <v>640</v>
      </c>
      <c r="G30" s="54">
        <v>20.49</v>
      </c>
      <c r="H30" s="54">
        <v>99.3</v>
      </c>
      <c r="I30" s="46">
        <v>246</v>
      </c>
      <c r="J30" s="46">
        <v>54.89</v>
      </c>
      <c r="K30" s="46">
        <v>1403</v>
      </c>
      <c r="L30" s="54">
        <v>85</v>
      </c>
      <c r="M30" s="44">
        <v>0.2</v>
      </c>
      <c r="N30" s="54">
        <v>1.014</v>
      </c>
      <c r="O30" s="54">
        <f>5.6*3.6</f>
        <v>20.16</v>
      </c>
      <c r="P30" s="46">
        <v>1529</v>
      </c>
      <c r="Q30" s="44">
        <v>198.7</v>
      </c>
      <c r="R30" s="54">
        <v>5.237</v>
      </c>
      <c r="S30" s="44">
        <v>913</v>
      </c>
      <c r="T30" s="46">
        <v>1228</v>
      </c>
      <c r="U30" s="54">
        <v>37.64</v>
      </c>
      <c r="V30" s="46">
        <v>1236</v>
      </c>
      <c r="W30" s="54">
        <v>-42.98</v>
      </c>
      <c r="X30" s="46">
        <v>2359</v>
      </c>
      <c r="Y30" s="47">
        <v>1.281</v>
      </c>
    </row>
    <row r="31" spans="1:25" ht="12.75">
      <c r="A31" s="6">
        <v>2023</v>
      </c>
      <c r="B31" s="53">
        <v>45045</v>
      </c>
      <c r="C31" s="46">
        <v>28.23</v>
      </c>
      <c r="D31" s="46">
        <v>1509</v>
      </c>
      <c r="E31" s="54">
        <v>15.4</v>
      </c>
      <c r="F31" s="46">
        <v>605</v>
      </c>
      <c r="G31" s="54">
        <v>21.11</v>
      </c>
      <c r="H31" s="54">
        <v>98.4</v>
      </c>
      <c r="I31" s="46">
        <v>617</v>
      </c>
      <c r="J31" s="54">
        <v>41.21</v>
      </c>
      <c r="K31" s="46">
        <v>1536</v>
      </c>
      <c r="L31" s="54">
        <v>73.1</v>
      </c>
      <c r="M31" s="46">
        <v>0</v>
      </c>
      <c r="N31" s="54">
        <v>1.416</v>
      </c>
      <c r="O31" s="54">
        <f>5.225*3.6</f>
        <v>18.81</v>
      </c>
      <c r="P31" s="46">
        <v>1406</v>
      </c>
      <c r="Q31" s="44">
        <v>212.7</v>
      </c>
      <c r="R31" s="54">
        <v>6.554</v>
      </c>
      <c r="S31" s="44">
        <v>812</v>
      </c>
      <c r="T31" s="46">
        <v>1146</v>
      </c>
      <c r="U31" s="54">
        <v>43.03</v>
      </c>
      <c r="V31" s="46">
        <v>1301</v>
      </c>
      <c r="W31" s="46">
        <v>-45.19</v>
      </c>
      <c r="X31" s="46">
        <v>2318</v>
      </c>
      <c r="Y31" s="47">
        <v>1.713</v>
      </c>
    </row>
    <row r="32" spans="1:25" ht="12.75">
      <c r="A32" s="6">
        <v>2023</v>
      </c>
      <c r="B32" s="53">
        <v>45046</v>
      </c>
      <c r="C32" s="54">
        <v>28.68</v>
      </c>
      <c r="D32" s="46">
        <v>1501</v>
      </c>
      <c r="E32" s="54">
        <v>15.33</v>
      </c>
      <c r="F32" s="46">
        <v>639</v>
      </c>
      <c r="G32" s="54">
        <v>21.6</v>
      </c>
      <c r="H32" s="54">
        <v>94.9</v>
      </c>
      <c r="I32" s="46">
        <v>643</v>
      </c>
      <c r="J32" s="54">
        <v>39.28</v>
      </c>
      <c r="K32" s="46">
        <v>1504</v>
      </c>
      <c r="L32" s="54">
        <v>71.2</v>
      </c>
      <c r="M32" s="46">
        <v>0</v>
      </c>
      <c r="N32" s="54">
        <v>0.954</v>
      </c>
      <c r="O32" s="54">
        <f>4.475*3.6</f>
        <v>16.11</v>
      </c>
      <c r="P32" s="46">
        <v>1512</v>
      </c>
      <c r="Q32" s="46">
        <v>222.8</v>
      </c>
      <c r="R32" s="54">
        <v>6.392</v>
      </c>
      <c r="S32" s="44">
        <v>790</v>
      </c>
      <c r="T32" s="46">
        <v>1248</v>
      </c>
      <c r="U32" s="54">
        <v>35.26</v>
      </c>
      <c r="V32" s="46">
        <v>1201</v>
      </c>
      <c r="W32" s="54">
        <v>-46.54</v>
      </c>
      <c r="X32" s="46">
        <v>318</v>
      </c>
      <c r="Y32" s="47">
        <v>1.638</v>
      </c>
    </row>
    <row r="33" spans="2:25" ht="12.75">
      <c r="B33" s="57"/>
      <c r="C33" s="58">
        <f>AVERAGE(C3:C32)</f>
        <v>28.412666666666663</v>
      </c>
      <c r="D33" s="59"/>
      <c r="E33" s="58">
        <f>AVERAGE(E3:E32)</f>
        <v>17.083333333333332</v>
      </c>
      <c r="F33" s="59"/>
      <c r="G33" s="58">
        <f>AVERAGE(G3:G32)</f>
        <v>21.947000000000006</v>
      </c>
      <c r="H33" s="58">
        <f>AVERAGE(H3:H32)</f>
        <v>96.07333333333337</v>
      </c>
      <c r="I33" s="59"/>
      <c r="J33" s="58">
        <f>AVERAGE(J3:J32)</f>
        <v>49.69800000000001</v>
      </c>
      <c r="K33" s="59"/>
      <c r="L33" s="58">
        <f>AVERAGE(L3:L32)</f>
        <v>77.89666666666666</v>
      </c>
      <c r="M33" s="41">
        <f>SUM(M3:M32)</f>
        <v>98.6</v>
      </c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41">
        <f>SUM(Y3:Y32)</f>
        <v>44.202</v>
      </c>
    </row>
  </sheetData>
  <sheetProtection/>
  <mergeCells count="2">
    <mergeCell ref="A1:A2"/>
    <mergeCell ref="B1:B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78" zoomScaleSheetLayoutView="78" zoomScalePageLayoutView="0" workbookViewId="0" topLeftCell="B1">
      <selection activeCell="U32" sqref="U32:Y32"/>
    </sheetView>
  </sheetViews>
  <sheetFormatPr defaultColWidth="9.140625" defaultRowHeight="12.75"/>
  <cols>
    <col min="1" max="1" width="7.28125" style="0" customWidth="1"/>
    <col min="2" max="2" width="8.28125" style="0" customWidth="1"/>
    <col min="3" max="3" width="9.7109375" style="0" customWidth="1"/>
    <col min="5" max="5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28125" style="0" customWidth="1"/>
    <col min="13" max="13" width="7.28125" style="0" customWidth="1"/>
    <col min="15" max="15" width="10.7109375" style="0" customWidth="1"/>
    <col min="16" max="17" width="7.7109375" style="0" customWidth="1"/>
    <col min="18" max="18" width="8.00390625" style="0" customWidth="1"/>
    <col min="20" max="20" width="8.7109375" style="0" customWidth="1"/>
    <col min="21" max="21" width="8.28125" style="0" customWidth="1"/>
    <col min="22" max="22" width="7.00390625" style="0" customWidth="1"/>
    <col min="23" max="24" width="7.7109375" style="0" customWidth="1"/>
    <col min="25" max="25" width="7.57421875" style="0" customWidth="1"/>
  </cols>
  <sheetData>
    <row r="1" spans="1:5" ht="12.75">
      <c r="A1" s="70">
        <v>39448</v>
      </c>
      <c r="B1" s="70"/>
      <c r="C1" s="8">
        <v>1</v>
      </c>
      <c r="E1">
        <v>3.6</v>
      </c>
    </row>
    <row r="2" spans="1:25" ht="30">
      <c r="A2" s="71" t="s">
        <v>12</v>
      </c>
      <c r="B2" s="71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72"/>
      <c r="B3" s="72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2023</v>
      </c>
      <c r="B4" s="53">
        <v>45047</v>
      </c>
      <c r="C4" s="6">
        <v>27.63</v>
      </c>
      <c r="D4" s="6">
        <v>1505</v>
      </c>
      <c r="E4" s="37">
        <v>13.74</v>
      </c>
      <c r="F4" s="6">
        <v>640</v>
      </c>
      <c r="G4" s="54">
        <v>20.92</v>
      </c>
      <c r="H4" s="37">
        <v>98.8</v>
      </c>
      <c r="I4" s="6">
        <v>701</v>
      </c>
      <c r="J4" s="37">
        <v>37.76</v>
      </c>
      <c r="K4" s="6">
        <v>1503</v>
      </c>
      <c r="L4" s="54">
        <v>71.4</v>
      </c>
      <c r="M4" s="6">
        <v>0</v>
      </c>
      <c r="N4" s="34">
        <v>0.813</v>
      </c>
      <c r="O4" s="34">
        <f>4.775*3.6</f>
        <v>17.19</v>
      </c>
      <c r="P4" s="6">
        <v>1452</v>
      </c>
      <c r="Q4" s="36">
        <v>255.1</v>
      </c>
      <c r="R4" s="37">
        <v>6.308</v>
      </c>
      <c r="S4" s="36">
        <v>749</v>
      </c>
      <c r="T4" s="6">
        <v>1153</v>
      </c>
      <c r="U4" s="37">
        <v>35.23</v>
      </c>
      <c r="V4" s="6">
        <v>1257</v>
      </c>
      <c r="W4" s="37">
        <v>-47.14</v>
      </c>
      <c r="X4" s="6">
        <v>558</v>
      </c>
      <c r="Y4" s="35">
        <v>1.587</v>
      </c>
    </row>
    <row r="5" spans="1:25" ht="12.75">
      <c r="A5" s="6">
        <v>2023</v>
      </c>
      <c r="B5" s="53">
        <v>45048</v>
      </c>
      <c r="C5" s="37">
        <v>28.03</v>
      </c>
      <c r="D5" s="6">
        <v>1433</v>
      </c>
      <c r="E5" s="37">
        <v>14.4</v>
      </c>
      <c r="F5" s="6">
        <v>346</v>
      </c>
      <c r="G5" s="54">
        <v>20.98</v>
      </c>
      <c r="H5" s="37">
        <v>97.4</v>
      </c>
      <c r="I5" s="6">
        <v>400</v>
      </c>
      <c r="J5" s="37">
        <v>37.37</v>
      </c>
      <c r="K5" s="6">
        <v>1457</v>
      </c>
      <c r="L5" s="54">
        <v>69.07</v>
      </c>
      <c r="M5" s="38">
        <v>0</v>
      </c>
      <c r="N5" s="34">
        <v>0.761</v>
      </c>
      <c r="O5" s="34">
        <f>5.675*3.6</f>
        <v>20.43</v>
      </c>
      <c r="P5" s="6">
        <v>1208</v>
      </c>
      <c r="Q5" s="36">
        <v>23.37</v>
      </c>
      <c r="R5" s="37">
        <v>6.176</v>
      </c>
      <c r="S5" s="36">
        <v>635.9</v>
      </c>
      <c r="T5" s="6">
        <v>1256</v>
      </c>
      <c r="U5" s="37">
        <v>29.58</v>
      </c>
      <c r="V5" s="6">
        <v>1246</v>
      </c>
      <c r="W5" s="37">
        <v>-50.88</v>
      </c>
      <c r="X5" s="6">
        <v>451</v>
      </c>
      <c r="Y5" s="6">
        <v>1.619</v>
      </c>
    </row>
    <row r="6" spans="1:25" ht="12.75">
      <c r="A6" s="6">
        <v>2023</v>
      </c>
      <c r="B6" s="53">
        <v>45049</v>
      </c>
      <c r="C6" s="37">
        <v>28.96</v>
      </c>
      <c r="D6" s="6">
        <v>1552</v>
      </c>
      <c r="E6" s="37">
        <v>13.4</v>
      </c>
      <c r="F6" s="6">
        <v>629</v>
      </c>
      <c r="G6" s="54">
        <v>21.41</v>
      </c>
      <c r="H6" s="37">
        <v>98</v>
      </c>
      <c r="I6" s="6">
        <v>645</v>
      </c>
      <c r="J6" s="37">
        <v>34.91</v>
      </c>
      <c r="K6" s="6">
        <v>1636</v>
      </c>
      <c r="L6" s="54">
        <v>65.77</v>
      </c>
      <c r="M6" s="6">
        <v>0</v>
      </c>
      <c r="N6" s="34">
        <v>0.58</v>
      </c>
      <c r="O6" s="34">
        <f>4.625*3.6</f>
        <v>16.650000000000002</v>
      </c>
      <c r="P6" s="6">
        <v>1252</v>
      </c>
      <c r="Q6" s="36">
        <v>343.6</v>
      </c>
      <c r="R6" s="37">
        <v>6.036</v>
      </c>
      <c r="S6" s="36">
        <v>650</v>
      </c>
      <c r="T6" s="6">
        <v>1222</v>
      </c>
      <c r="U6" s="37">
        <v>32.07</v>
      </c>
      <c r="V6" s="6">
        <v>1223</v>
      </c>
      <c r="W6" s="6">
        <v>-47.82</v>
      </c>
      <c r="X6" s="6">
        <v>604</v>
      </c>
      <c r="Y6" s="39">
        <v>1.528</v>
      </c>
    </row>
    <row r="7" spans="1:25" ht="12.75">
      <c r="A7" s="6">
        <v>2023</v>
      </c>
      <c r="B7" s="53">
        <v>45050</v>
      </c>
      <c r="C7" s="6">
        <v>29.68</v>
      </c>
      <c r="D7" s="6">
        <v>1502</v>
      </c>
      <c r="E7" s="37">
        <v>15</v>
      </c>
      <c r="F7" s="6">
        <v>206</v>
      </c>
      <c r="G7" s="54">
        <v>22.18</v>
      </c>
      <c r="H7" s="37">
        <v>93.3</v>
      </c>
      <c r="I7" s="6">
        <v>218</v>
      </c>
      <c r="J7" s="37">
        <v>33.58</v>
      </c>
      <c r="K7" s="6">
        <v>1619</v>
      </c>
      <c r="L7" s="54">
        <v>63.41</v>
      </c>
      <c r="M7" s="6">
        <v>0</v>
      </c>
      <c r="N7" s="34">
        <v>0.697</v>
      </c>
      <c r="O7" s="34">
        <v>4.925</v>
      </c>
      <c r="P7" s="6">
        <v>1335</v>
      </c>
      <c r="Q7" s="36">
        <v>0.094</v>
      </c>
      <c r="R7" s="37">
        <v>5.661</v>
      </c>
      <c r="S7" s="36">
        <v>642.4</v>
      </c>
      <c r="T7" s="6">
        <v>1228</v>
      </c>
      <c r="U7" s="37">
        <v>32.09</v>
      </c>
      <c r="V7" s="6">
        <v>1305</v>
      </c>
      <c r="W7" s="37">
        <v>-46.02</v>
      </c>
      <c r="X7" s="6">
        <v>215</v>
      </c>
      <c r="Y7" s="35">
        <v>1.654</v>
      </c>
    </row>
    <row r="8" spans="1:25" ht="12.75">
      <c r="A8" s="6">
        <v>2023</v>
      </c>
      <c r="B8" s="53">
        <v>45051</v>
      </c>
      <c r="C8" s="6">
        <v>30.67</v>
      </c>
      <c r="D8" s="6">
        <v>1517</v>
      </c>
      <c r="E8" s="37">
        <v>16.98</v>
      </c>
      <c r="F8" s="6">
        <v>648</v>
      </c>
      <c r="G8" s="54">
        <v>23.37</v>
      </c>
      <c r="H8" s="37">
        <v>86.3</v>
      </c>
      <c r="I8" s="6">
        <v>102</v>
      </c>
      <c r="J8" s="37">
        <v>36.83</v>
      </c>
      <c r="K8" s="6">
        <v>1617</v>
      </c>
      <c r="L8" s="54">
        <v>63.88</v>
      </c>
      <c r="M8" s="6">
        <v>0</v>
      </c>
      <c r="N8" s="34">
        <v>0.873</v>
      </c>
      <c r="O8" s="34">
        <f>4.925*3.6</f>
        <v>17.73</v>
      </c>
      <c r="P8" s="6">
        <v>1154</v>
      </c>
      <c r="Q8" s="36">
        <v>26.11</v>
      </c>
      <c r="R8" s="37">
        <v>5.49</v>
      </c>
      <c r="S8" s="36">
        <v>614.8</v>
      </c>
      <c r="T8" s="6">
        <v>1221</v>
      </c>
      <c r="U8" s="37">
        <v>29.92</v>
      </c>
      <c r="V8" s="6">
        <v>1326</v>
      </c>
      <c r="W8" s="6">
        <v>-43.34</v>
      </c>
      <c r="X8" s="6">
        <v>257</v>
      </c>
      <c r="Y8" s="35">
        <v>1.651</v>
      </c>
    </row>
    <row r="9" spans="1:25" ht="12.75">
      <c r="A9" s="6">
        <v>2023</v>
      </c>
      <c r="B9" s="53">
        <v>45052</v>
      </c>
      <c r="C9" s="6">
        <v>30.14</v>
      </c>
      <c r="D9" s="6">
        <v>1620</v>
      </c>
      <c r="E9" s="6">
        <v>18.04</v>
      </c>
      <c r="F9" s="6">
        <v>647</v>
      </c>
      <c r="G9" s="54">
        <v>23.54</v>
      </c>
      <c r="H9" s="37">
        <v>81.8</v>
      </c>
      <c r="I9" s="6">
        <v>2358</v>
      </c>
      <c r="J9" s="37">
        <v>41.08</v>
      </c>
      <c r="K9" s="6">
        <v>1345</v>
      </c>
      <c r="L9" s="54">
        <v>64.59</v>
      </c>
      <c r="M9" s="6">
        <v>0</v>
      </c>
      <c r="N9" s="34">
        <v>0.954</v>
      </c>
      <c r="O9" s="34">
        <f>4.7*3.6</f>
        <v>16.92</v>
      </c>
      <c r="P9" s="6">
        <v>1153</v>
      </c>
      <c r="Q9" s="36">
        <v>13.76</v>
      </c>
      <c r="R9" s="37">
        <v>5.183</v>
      </c>
      <c r="S9" s="36">
        <v>615.7</v>
      </c>
      <c r="T9" s="6">
        <v>1221</v>
      </c>
      <c r="U9" s="37">
        <v>29.1</v>
      </c>
      <c r="V9" s="6">
        <v>1305</v>
      </c>
      <c r="W9" s="6">
        <v>-42.61</v>
      </c>
      <c r="X9" s="6">
        <v>541</v>
      </c>
      <c r="Y9" s="35">
        <v>1.492</v>
      </c>
    </row>
    <row r="10" spans="1:25" ht="12.75">
      <c r="A10" s="6">
        <v>2023</v>
      </c>
      <c r="B10" s="53">
        <v>45053</v>
      </c>
      <c r="C10" s="37">
        <v>28.89</v>
      </c>
      <c r="D10" s="6">
        <v>1429</v>
      </c>
      <c r="E10" s="37">
        <v>17.58</v>
      </c>
      <c r="F10" s="6">
        <v>638</v>
      </c>
      <c r="G10" s="54">
        <v>22.57</v>
      </c>
      <c r="H10" s="37">
        <v>91.2</v>
      </c>
      <c r="I10" s="6">
        <v>507</v>
      </c>
      <c r="J10" s="6">
        <v>41.94</v>
      </c>
      <c r="K10" s="6">
        <v>1429</v>
      </c>
      <c r="L10" s="54">
        <v>70.1</v>
      </c>
      <c r="M10" s="6">
        <v>0</v>
      </c>
      <c r="N10" s="34">
        <v>1.075</v>
      </c>
      <c r="O10" s="34">
        <f>6.125*3.6</f>
        <v>22.05</v>
      </c>
      <c r="P10" s="6">
        <v>1201</v>
      </c>
      <c r="Q10" s="36">
        <v>21.39</v>
      </c>
      <c r="R10" s="37">
        <v>4.883</v>
      </c>
      <c r="S10" s="36">
        <v>629.2</v>
      </c>
      <c r="T10" s="6">
        <v>1107</v>
      </c>
      <c r="U10" s="6">
        <v>21.69</v>
      </c>
      <c r="V10" s="6">
        <v>1335</v>
      </c>
      <c r="W10" s="6">
        <v>-43.41</v>
      </c>
      <c r="X10" s="6">
        <v>328</v>
      </c>
      <c r="Y10" s="35">
        <v>1.435</v>
      </c>
    </row>
    <row r="11" spans="1:25" ht="12.75">
      <c r="A11" s="6">
        <v>2023</v>
      </c>
      <c r="B11" s="53">
        <v>45054</v>
      </c>
      <c r="C11" s="37">
        <v>29.94</v>
      </c>
      <c r="D11" s="6">
        <v>1511</v>
      </c>
      <c r="E11" s="6">
        <v>16.85</v>
      </c>
      <c r="F11" s="6">
        <v>502</v>
      </c>
      <c r="G11" s="54">
        <v>22.7</v>
      </c>
      <c r="H11" s="37">
        <v>90.1</v>
      </c>
      <c r="I11" s="6">
        <v>503</v>
      </c>
      <c r="J11" s="37">
        <v>38.96</v>
      </c>
      <c r="K11" s="6">
        <v>1422</v>
      </c>
      <c r="L11" s="54">
        <v>67.21</v>
      </c>
      <c r="M11" s="6">
        <v>0</v>
      </c>
      <c r="N11" s="34">
        <v>0.777</v>
      </c>
      <c r="O11" s="34">
        <f>4.7*3.6</f>
        <v>16.92</v>
      </c>
      <c r="P11" s="6">
        <v>1140</v>
      </c>
      <c r="Q11" s="36">
        <v>8.2</v>
      </c>
      <c r="R11" s="37">
        <v>4.984</v>
      </c>
      <c r="S11" s="36">
        <v>641.1</v>
      </c>
      <c r="T11" s="6">
        <v>1241</v>
      </c>
      <c r="U11" s="37">
        <v>29.39</v>
      </c>
      <c r="V11" s="6">
        <v>1305</v>
      </c>
      <c r="W11" s="37">
        <v>-44.13</v>
      </c>
      <c r="X11" s="6">
        <v>513</v>
      </c>
      <c r="Y11" s="35">
        <v>1.394</v>
      </c>
    </row>
    <row r="12" spans="1:25" ht="12.75">
      <c r="A12" s="6">
        <v>2023</v>
      </c>
      <c r="B12" s="53">
        <v>45055</v>
      </c>
      <c r="C12" s="37">
        <v>28.82</v>
      </c>
      <c r="D12" s="6">
        <v>1524</v>
      </c>
      <c r="E12" s="6">
        <v>17.05</v>
      </c>
      <c r="F12" s="6">
        <v>657</v>
      </c>
      <c r="G12" s="54">
        <v>22.16</v>
      </c>
      <c r="H12" s="37">
        <v>92.2</v>
      </c>
      <c r="I12" s="6">
        <v>726</v>
      </c>
      <c r="J12" s="37">
        <v>45.53</v>
      </c>
      <c r="K12" s="6">
        <v>1525</v>
      </c>
      <c r="L12" s="54">
        <v>71.5</v>
      </c>
      <c r="M12" s="6">
        <v>0</v>
      </c>
      <c r="N12" s="34">
        <v>0.455</v>
      </c>
      <c r="O12" s="34">
        <f>4.175*3.6</f>
        <v>15.03</v>
      </c>
      <c r="P12" s="6">
        <v>1421</v>
      </c>
      <c r="Q12" s="36">
        <v>147.4</v>
      </c>
      <c r="R12" s="37">
        <v>4.017</v>
      </c>
      <c r="S12" s="36">
        <v>668.3</v>
      </c>
      <c r="T12" s="6">
        <v>1329</v>
      </c>
      <c r="U12" s="6">
        <v>23.13</v>
      </c>
      <c r="V12" s="6">
        <v>1256</v>
      </c>
      <c r="W12" s="6">
        <v>-41.07</v>
      </c>
      <c r="X12" s="6">
        <v>313</v>
      </c>
      <c r="Y12" s="35">
        <v>1.026</v>
      </c>
    </row>
    <row r="13" spans="1:25" ht="12.75">
      <c r="A13" s="6">
        <v>2023</v>
      </c>
      <c r="B13" s="53">
        <v>45056</v>
      </c>
      <c r="C13" s="37">
        <v>27.03</v>
      </c>
      <c r="D13" s="6">
        <v>1247</v>
      </c>
      <c r="E13" s="6">
        <v>16.98</v>
      </c>
      <c r="F13" s="6">
        <v>624</v>
      </c>
      <c r="G13" s="54">
        <v>21.68</v>
      </c>
      <c r="H13" s="37">
        <v>94.3</v>
      </c>
      <c r="I13" s="6">
        <v>2359</v>
      </c>
      <c r="J13" s="37">
        <v>55.02</v>
      </c>
      <c r="K13" s="6">
        <v>1303</v>
      </c>
      <c r="L13" s="54">
        <v>77.1</v>
      </c>
      <c r="M13" s="6">
        <v>0</v>
      </c>
      <c r="N13" s="34">
        <v>0.626</v>
      </c>
      <c r="O13" s="34">
        <f>3.35*3.6</f>
        <v>12.06</v>
      </c>
      <c r="P13" s="6">
        <v>1105</v>
      </c>
      <c r="Q13" s="36">
        <v>56.75</v>
      </c>
      <c r="R13" s="37">
        <v>3.089</v>
      </c>
      <c r="S13" s="36">
        <v>444.9</v>
      </c>
      <c r="T13" s="6">
        <v>1233</v>
      </c>
      <c r="U13" s="37">
        <v>13.48</v>
      </c>
      <c r="V13" s="6">
        <v>1308</v>
      </c>
      <c r="W13" s="37">
        <v>-41.25</v>
      </c>
      <c r="X13" s="6">
        <v>531</v>
      </c>
      <c r="Y13" s="39">
        <v>0.731</v>
      </c>
    </row>
    <row r="14" spans="1:26" ht="12.75">
      <c r="A14" s="6">
        <v>2023</v>
      </c>
      <c r="B14" s="53">
        <v>45057</v>
      </c>
      <c r="C14" s="37">
        <v>28.56</v>
      </c>
      <c r="D14" s="6">
        <v>1465</v>
      </c>
      <c r="E14" s="37">
        <v>16.38</v>
      </c>
      <c r="F14" s="6">
        <v>646</v>
      </c>
      <c r="G14" s="54">
        <v>21.71</v>
      </c>
      <c r="H14" s="37">
        <v>99.3</v>
      </c>
      <c r="I14" s="6">
        <v>703</v>
      </c>
      <c r="J14" s="37">
        <v>38.49</v>
      </c>
      <c r="K14" s="6">
        <v>1531</v>
      </c>
      <c r="L14" s="54">
        <v>76.3</v>
      </c>
      <c r="M14" s="6">
        <v>0</v>
      </c>
      <c r="N14" s="34">
        <v>1.074</v>
      </c>
      <c r="O14" s="34">
        <f>6.05*3.6</f>
        <v>21.78</v>
      </c>
      <c r="P14" s="6">
        <v>1630</v>
      </c>
      <c r="Q14" s="36">
        <v>168.7</v>
      </c>
      <c r="R14" s="37">
        <v>4.513</v>
      </c>
      <c r="S14" s="36">
        <v>771</v>
      </c>
      <c r="T14" s="6">
        <v>1238</v>
      </c>
      <c r="U14" s="37">
        <v>20.44</v>
      </c>
      <c r="V14" s="6">
        <v>1200</v>
      </c>
      <c r="W14" s="6">
        <v>-42.56</v>
      </c>
      <c r="X14" s="6">
        <v>2358</v>
      </c>
      <c r="Y14" s="39">
        <v>1.499</v>
      </c>
      <c r="Z14" s="13"/>
    </row>
    <row r="15" spans="1:25" ht="12.75">
      <c r="A15" s="6">
        <v>2023</v>
      </c>
      <c r="B15" s="53">
        <v>45058</v>
      </c>
      <c r="C15" s="37">
        <v>26.5</v>
      </c>
      <c r="D15" s="6">
        <v>1425</v>
      </c>
      <c r="E15" s="6">
        <v>13.47</v>
      </c>
      <c r="F15" s="6">
        <v>612</v>
      </c>
      <c r="G15" s="54">
        <v>19.34</v>
      </c>
      <c r="H15" s="37">
        <v>94.6</v>
      </c>
      <c r="I15" s="6">
        <v>616</v>
      </c>
      <c r="J15" s="37">
        <v>27.61</v>
      </c>
      <c r="K15" s="6">
        <v>1458</v>
      </c>
      <c r="L15" s="54">
        <v>67.66</v>
      </c>
      <c r="M15" s="6">
        <v>0</v>
      </c>
      <c r="N15" s="34">
        <v>1.12</v>
      </c>
      <c r="O15" s="34">
        <f>5.375*3.6</f>
        <v>19.35</v>
      </c>
      <c r="P15" s="6">
        <v>1510</v>
      </c>
      <c r="Q15" s="36">
        <v>211.3</v>
      </c>
      <c r="R15" s="37">
        <v>4.69</v>
      </c>
      <c r="S15" s="36">
        <v>582.8</v>
      </c>
      <c r="T15" s="6">
        <v>1138</v>
      </c>
      <c r="U15" s="37">
        <v>21.45</v>
      </c>
      <c r="V15" s="6">
        <v>1234</v>
      </c>
      <c r="W15" s="37">
        <v>-45.7</v>
      </c>
      <c r="X15" s="6">
        <v>621</v>
      </c>
      <c r="Y15" s="35">
        <v>1.543</v>
      </c>
    </row>
    <row r="16" spans="1:25" ht="12.75">
      <c r="A16" s="6">
        <v>2023</v>
      </c>
      <c r="B16" s="53">
        <v>45059</v>
      </c>
      <c r="C16" s="6">
        <v>25.44</v>
      </c>
      <c r="D16" s="6">
        <v>1436</v>
      </c>
      <c r="E16" s="37">
        <v>11.94</v>
      </c>
      <c r="F16" s="6">
        <v>601</v>
      </c>
      <c r="G16" s="54">
        <v>18.04</v>
      </c>
      <c r="H16" s="37">
        <v>93.4</v>
      </c>
      <c r="I16" s="6">
        <v>604</v>
      </c>
      <c r="J16" s="37">
        <v>36.1</v>
      </c>
      <c r="K16" s="6">
        <v>1354</v>
      </c>
      <c r="L16" s="54">
        <v>67.55</v>
      </c>
      <c r="M16" s="6">
        <v>0</v>
      </c>
      <c r="N16" s="34">
        <v>1.887</v>
      </c>
      <c r="O16" s="34">
        <f>5.3*3.6</f>
        <v>19.08</v>
      </c>
      <c r="P16" s="6">
        <v>242</v>
      </c>
      <c r="Q16" s="36">
        <v>135.5</v>
      </c>
      <c r="R16" s="37">
        <v>4.933</v>
      </c>
      <c r="S16" s="36">
        <v>597.1</v>
      </c>
      <c r="T16" s="6">
        <v>1304</v>
      </c>
      <c r="U16" s="37">
        <v>19.55</v>
      </c>
      <c r="V16" s="6">
        <v>1317</v>
      </c>
      <c r="W16" s="37">
        <v>-44.48</v>
      </c>
      <c r="X16" s="6">
        <v>36</v>
      </c>
      <c r="Y16" s="35">
        <v>1.488</v>
      </c>
    </row>
    <row r="17" spans="1:25" ht="12.75">
      <c r="A17" s="6">
        <v>2023</v>
      </c>
      <c r="B17" s="53">
        <v>45060</v>
      </c>
      <c r="C17" s="6">
        <v>25.97</v>
      </c>
      <c r="D17" s="6">
        <v>1434</v>
      </c>
      <c r="E17" s="37">
        <v>10.95</v>
      </c>
      <c r="F17" s="6">
        <v>648</v>
      </c>
      <c r="G17" s="54">
        <v>18.16</v>
      </c>
      <c r="H17" s="37">
        <v>87.4</v>
      </c>
      <c r="I17" s="6">
        <v>654</v>
      </c>
      <c r="J17" s="37">
        <v>29.8</v>
      </c>
      <c r="K17" s="6">
        <v>1542</v>
      </c>
      <c r="L17" s="54">
        <v>60.91</v>
      </c>
      <c r="M17" s="6">
        <v>0</v>
      </c>
      <c r="N17" s="34">
        <v>1.015</v>
      </c>
      <c r="O17" s="34">
        <f>3.95*3.6</f>
        <v>14.22</v>
      </c>
      <c r="P17" s="6">
        <v>949</v>
      </c>
      <c r="Q17" s="36">
        <v>97.7</v>
      </c>
      <c r="R17" s="37">
        <v>4.985</v>
      </c>
      <c r="S17" s="36">
        <v>550.8</v>
      </c>
      <c r="T17" s="6">
        <v>1141</v>
      </c>
      <c r="U17" s="6">
        <v>20.99</v>
      </c>
      <c r="V17" s="6">
        <v>1308</v>
      </c>
      <c r="W17" s="6">
        <v>-45.89</v>
      </c>
      <c r="X17" s="6">
        <v>622</v>
      </c>
      <c r="Y17" s="35">
        <v>1.401</v>
      </c>
    </row>
    <row r="18" spans="1:25" ht="12.75">
      <c r="A18" s="6">
        <v>2023</v>
      </c>
      <c r="B18" s="53">
        <v>45061</v>
      </c>
      <c r="C18" s="37">
        <v>26.17</v>
      </c>
      <c r="D18" s="6">
        <v>1529</v>
      </c>
      <c r="E18" s="37">
        <v>11.22</v>
      </c>
      <c r="F18" s="6">
        <v>636</v>
      </c>
      <c r="G18" s="54">
        <v>18.27</v>
      </c>
      <c r="H18" s="37">
        <v>86.6</v>
      </c>
      <c r="I18" s="6">
        <v>635</v>
      </c>
      <c r="J18" s="37">
        <v>28.8</v>
      </c>
      <c r="K18" s="6">
        <v>1529</v>
      </c>
      <c r="L18" s="54">
        <v>58.14</v>
      </c>
      <c r="M18" s="38">
        <v>0</v>
      </c>
      <c r="N18" s="34">
        <v>1.043</v>
      </c>
      <c r="O18" s="34">
        <f>4.7*3.6</f>
        <v>16.92</v>
      </c>
      <c r="P18" s="6">
        <v>934</v>
      </c>
      <c r="Q18" s="36">
        <v>87.1</v>
      </c>
      <c r="R18" s="37">
        <v>4.997</v>
      </c>
      <c r="S18" s="36">
        <v>550</v>
      </c>
      <c r="T18" s="6">
        <v>1158</v>
      </c>
      <c r="U18" s="6">
        <v>20.68</v>
      </c>
      <c r="V18" s="6">
        <v>1309</v>
      </c>
      <c r="W18" s="37">
        <v>-45.52</v>
      </c>
      <c r="X18" s="6">
        <v>223</v>
      </c>
      <c r="Y18" s="35">
        <v>1.525</v>
      </c>
    </row>
    <row r="19" spans="1:25" ht="12.75">
      <c r="A19" s="6">
        <v>2023</v>
      </c>
      <c r="B19" s="53">
        <v>45062</v>
      </c>
      <c r="C19" s="37">
        <v>26.63</v>
      </c>
      <c r="D19" s="6">
        <v>1414</v>
      </c>
      <c r="E19" s="6">
        <v>10.04</v>
      </c>
      <c r="F19" s="6">
        <v>651</v>
      </c>
      <c r="G19" s="54">
        <v>17.91</v>
      </c>
      <c r="H19" s="37">
        <v>83.7</v>
      </c>
      <c r="I19" s="6">
        <v>655</v>
      </c>
      <c r="J19" s="37">
        <v>20.84</v>
      </c>
      <c r="K19" s="6">
        <v>1432</v>
      </c>
      <c r="L19" s="54">
        <v>53.46</v>
      </c>
      <c r="M19" s="6">
        <v>0</v>
      </c>
      <c r="N19" s="34">
        <v>1.049</v>
      </c>
      <c r="O19" s="34">
        <f>4.85*3.6</f>
        <v>17.46</v>
      </c>
      <c r="P19" s="6">
        <v>1202</v>
      </c>
      <c r="Q19" s="36">
        <v>56.94</v>
      </c>
      <c r="R19" s="37">
        <v>5.065</v>
      </c>
      <c r="S19" s="36">
        <v>525.8</v>
      </c>
      <c r="T19" s="6">
        <v>1223</v>
      </c>
      <c r="U19" s="6">
        <v>16.76</v>
      </c>
      <c r="V19" s="6">
        <v>1330</v>
      </c>
      <c r="W19" s="37">
        <v>-45.29</v>
      </c>
      <c r="X19" s="6">
        <v>502</v>
      </c>
      <c r="Y19" s="35">
        <v>1.719</v>
      </c>
    </row>
    <row r="20" spans="1:25" ht="12.75">
      <c r="A20" s="6">
        <v>2023</v>
      </c>
      <c r="B20" s="53">
        <v>45063</v>
      </c>
      <c r="C20" s="37">
        <v>26.24</v>
      </c>
      <c r="D20" s="6">
        <v>1502</v>
      </c>
      <c r="E20" s="37">
        <v>11.48</v>
      </c>
      <c r="F20" s="6">
        <v>620</v>
      </c>
      <c r="G20" s="37">
        <v>17.89</v>
      </c>
      <c r="H20" s="37">
        <v>90.8</v>
      </c>
      <c r="I20" s="6">
        <v>623</v>
      </c>
      <c r="J20" s="37">
        <v>30.4</v>
      </c>
      <c r="K20" s="6">
        <v>1509</v>
      </c>
      <c r="L20" s="37">
        <v>63.49</v>
      </c>
      <c r="M20" s="6">
        <v>0</v>
      </c>
      <c r="N20" s="34">
        <v>0.05</v>
      </c>
      <c r="O20" s="34">
        <f>6.725*3.6</f>
        <v>24.21</v>
      </c>
      <c r="P20" s="6">
        <v>804</v>
      </c>
      <c r="Q20" s="36">
        <v>123.8</v>
      </c>
      <c r="R20" s="37">
        <v>4.988</v>
      </c>
      <c r="S20" s="36">
        <v>531.2</v>
      </c>
      <c r="T20" s="6">
        <v>1237</v>
      </c>
      <c r="U20" s="37">
        <v>17.28</v>
      </c>
      <c r="V20" s="6">
        <v>1339</v>
      </c>
      <c r="W20" s="37">
        <v>-42.99</v>
      </c>
      <c r="X20" s="6">
        <v>0</v>
      </c>
      <c r="Y20" s="35">
        <v>1.074</v>
      </c>
    </row>
    <row r="21" spans="1:25" ht="12.75">
      <c r="A21" s="6">
        <v>2023</v>
      </c>
      <c r="B21" s="53">
        <v>45064</v>
      </c>
      <c r="C21" s="37">
        <v>28.42</v>
      </c>
      <c r="D21" s="6">
        <v>1613</v>
      </c>
      <c r="E21" s="37">
        <v>10.49</v>
      </c>
      <c r="F21" s="6">
        <v>654</v>
      </c>
      <c r="G21" s="37">
        <v>18.58</v>
      </c>
      <c r="H21" s="37">
        <v>95.1</v>
      </c>
      <c r="I21" s="6">
        <v>656</v>
      </c>
      <c r="J21" s="37">
        <v>25.95</v>
      </c>
      <c r="K21" s="6">
        <v>1553</v>
      </c>
      <c r="L21" s="37">
        <v>62.88</v>
      </c>
      <c r="M21" s="38">
        <v>0</v>
      </c>
      <c r="N21" s="34">
        <v>0.1</v>
      </c>
      <c r="O21" s="34">
        <f>4.1*3.6</f>
        <v>14.76</v>
      </c>
      <c r="P21" s="6">
        <v>855</v>
      </c>
      <c r="Q21" s="36">
        <v>97</v>
      </c>
      <c r="R21" s="37">
        <v>4.955</v>
      </c>
      <c r="S21" s="36">
        <v>559.6</v>
      </c>
      <c r="T21" s="6">
        <v>1206</v>
      </c>
      <c r="U21" s="37">
        <v>25.74</v>
      </c>
      <c r="V21" s="6">
        <v>1259</v>
      </c>
      <c r="W21" s="37">
        <v>-41.67</v>
      </c>
      <c r="X21" s="6">
        <v>2157</v>
      </c>
      <c r="Y21" s="35">
        <v>1.116</v>
      </c>
    </row>
    <row r="22" spans="1:25" ht="12.75">
      <c r="A22" s="6">
        <v>2023</v>
      </c>
      <c r="B22" s="53">
        <v>45065</v>
      </c>
      <c r="C22" s="37">
        <v>29.02</v>
      </c>
      <c r="D22" s="6">
        <v>1437</v>
      </c>
      <c r="E22" s="37">
        <v>11.15</v>
      </c>
      <c r="F22" s="6">
        <v>629</v>
      </c>
      <c r="G22" s="37">
        <v>19.04</v>
      </c>
      <c r="H22" s="37">
        <v>89.8</v>
      </c>
      <c r="I22" s="6">
        <v>553</v>
      </c>
      <c r="J22" s="37">
        <v>24.95</v>
      </c>
      <c r="K22" s="6">
        <v>1530</v>
      </c>
      <c r="L22" s="37">
        <v>61.13</v>
      </c>
      <c r="M22" s="38">
        <v>0</v>
      </c>
      <c r="N22" s="34">
        <v>1.02</v>
      </c>
      <c r="O22" s="34">
        <v>13.89</v>
      </c>
      <c r="P22" s="6">
        <v>1152</v>
      </c>
      <c r="Q22" s="36">
        <v>107.8</v>
      </c>
      <c r="R22" s="37">
        <v>4.914</v>
      </c>
      <c r="S22" s="36">
        <v>547.3</v>
      </c>
      <c r="T22" s="6">
        <v>1232</v>
      </c>
      <c r="U22" s="6">
        <v>26.26</v>
      </c>
      <c r="V22" s="6">
        <v>1252</v>
      </c>
      <c r="W22" s="37">
        <v>-42.7</v>
      </c>
      <c r="X22" s="6">
        <v>225</v>
      </c>
      <c r="Y22" s="35">
        <v>1.118</v>
      </c>
    </row>
    <row r="23" spans="1:25" ht="12.75">
      <c r="A23" s="6">
        <v>2023</v>
      </c>
      <c r="B23" s="53">
        <v>45066</v>
      </c>
      <c r="C23" s="37">
        <v>27.5</v>
      </c>
      <c r="D23" s="6">
        <v>1624</v>
      </c>
      <c r="E23" s="37">
        <v>12.28</v>
      </c>
      <c r="F23" s="6">
        <v>558</v>
      </c>
      <c r="G23" s="37">
        <v>18.69</v>
      </c>
      <c r="H23" s="37">
        <v>85.6</v>
      </c>
      <c r="I23" s="6">
        <v>559</v>
      </c>
      <c r="J23" s="37">
        <v>21.97</v>
      </c>
      <c r="K23" s="6">
        <v>1500</v>
      </c>
      <c r="L23" s="37">
        <v>59.27</v>
      </c>
      <c r="M23" s="38">
        <v>0</v>
      </c>
      <c r="N23" s="34">
        <v>0.815</v>
      </c>
      <c r="O23" s="34">
        <f>4.775*3.6</f>
        <v>17.19</v>
      </c>
      <c r="P23" s="6">
        <v>938</v>
      </c>
      <c r="Q23" s="36">
        <v>74.9</v>
      </c>
      <c r="R23" s="37">
        <v>4.908</v>
      </c>
      <c r="S23" s="36">
        <v>588.5</v>
      </c>
      <c r="T23" s="6">
        <v>1307</v>
      </c>
      <c r="U23" s="37">
        <v>22.86</v>
      </c>
      <c r="V23" s="6">
        <v>1257</v>
      </c>
      <c r="W23" s="37">
        <v>-42.88</v>
      </c>
      <c r="X23" s="6">
        <v>2357</v>
      </c>
      <c r="Y23" s="35">
        <v>1.31</v>
      </c>
    </row>
    <row r="24" spans="1:25" ht="12.75">
      <c r="A24" s="6">
        <v>2023</v>
      </c>
      <c r="B24" s="53">
        <v>45067</v>
      </c>
      <c r="C24" s="37">
        <v>26.43</v>
      </c>
      <c r="D24" s="6">
        <v>1441</v>
      </c>
      <c r="E24" s="37">
        <v>10.82</v>
      </c>
      <c r="F24" s="6">
        <v>631</v>
      </c>
      <c r="G24" s="37">
        <v>18.67</v>
      </c>
      <c r="H24" s="37">
        <v>89.2</v>
      </c>
      <c r="I24" s="6">
        <v>632</v>
      </c>
      <c r="J24" s="37">
        <v>29.73</v>
      </c>
      <c r="K24" s="6">
        <v>1435</v>
      </c>
      <c r="L24" s="37">
        <v>59.24</v>
      </c>
      <c r="M24" s="38">
        <v>0</v>
      </c>
      <c r="N24" s="34">
        <v>1.254</v>
      </c>
      <c r="O24" s="34">
        <f>5.6*3.6</f>
        <v>20.16</v>
      </c>
      <c r="P24" s="6">
        <v>1028</v>
      </c>
      <c r="Q24" s="36">
        <v>24.99</v>
      </c>
      <c r="R24" s="37">
        <v>4.661</v>
      </c>
      <c r="S24" s="6">
        <v>630.4</v>
      </c>
      <c r="T24" s="6">
        <v>1245</v>
      </c>
      <c r="U24" s="37">
        <v>17.52</v>
      </c>
      <c r="V24" s="6">
        <v>1232</v>
      </c>
      <c r="W24" s="6">
        <v>-43.07</v>
      </c>
      <c r="X24" s="6">
        <v>22</v>
      </c>
      <c r="Y24" s="35">
        <v>1.517</v>
      </c>
    </row>
    <row r="25" spans="1:25" ht="12.75">
      <c r="A25" s="6">
        <v>2023</v>
      </c>
      <c r="B25" s="53">
        <v>45068</v>
      </c>
      <c r="C25" s="37">
        <v>26.1</v>
      </c>
      <c r="D25" s="6">
        <v>1256</v>
      </c>
      <c r="E25" s="37">
        <v>11.62</v>
      </c>
      <c r="F25" s="6">
        <v>656</v>
      </c>
      <c r="G25" s="37">
        <v>18.77</v>
      </c>
      <c r="H25" s="37">
        <v>89.1</v>
      </c>
      <c r="I25" s="6">
        <v>718</v>
      </c>
      <c r="J25" s="37">
        <v>31.06</v>
      </c>
      <c r="K25" s="6">
        <v>1405</v>
      </c>
      <c r="L25" s="37">
        <v>61.02</v>
      </c>
      <c r="M25" s="38">
        <v>0</v>
      </c>
      <c r="N25" s="34">
        <v>0.866</v>
      </c>
      <c r="O25" s="34">
        <f>6.275*3.6</f>
        <v>22.590000000000003</v>
      </c>
      <c r="P25" s="6">
        <v>1347</v>
      </c>
      <c r="Q25" s="43">
        <v>25.35</v>
      </c>
      <c r="R25" s="37">
        <v>4.364</v>
      </c>
      <c r="S25" s="36">
        <v>640.9</v>
      </c>
      <c r="T25" s="6">
        <v>1211</v>
      </c>
      <c r="U25" s="37">
        <v>19</v>
      </c>
      <c r="V25" s="6">
        <v>1327</v>
      </c>
      <c r="W25" s="37">
        <v>-39.72</v>
      </c>
      <c r="X25" s="6">
        <v>545</v>
      </c>
      <c r="Y25" s="35">
        <v>1.448</v>
      </c>
    </row>
    <row r="26" spans="1:26" ht="12.75">
      <c r="A26" s="6">
        <v>2023</v>
      </c>
      <c r="B26" s="53">
        <v>45069</v>
      </c>
      <c r="C26" s="37">
        <v>26.57</v>
      </c>
      <c r="D26" s="6">
        <v>1427</v>
      </c>
      <c r="E26" s="37">
        <v>12.08</v>
      </c>
      <c r="F26" s="6">
        <v>621</v>
      </c>
      <c r="G26" s="37">
        <v>18.9</v>
      </c>
      <c r="H26" s="37">
        <v>87.5</v>
      </c>
      <c r="I26" s="6">
        <v>624</v>
      </c>
      <c r="J26" s="37">
        <v>33.45</v>
      </c>
      <c r="K26" s="6">
        <v>1446</v>
      </c>
      <c r="L26" s="37">
        <v>63.51</v>
      </c>
      <c r="M26" s="38">
        <v>0</v>
      </c>
      <c r="N26" s="34">
        <v>1.153</v>
      </c>
      <c r="O26" s="34">
        <f>6.575*3.6</f>
        <v>23.67</v>
      </c>
      <c r="P26" s="6">
        <v>1154</v>
      </c>
      <c r="Q26" s="36">
        <v>15.27</v>
      </c>
      <c r="R26" s="37">
        <v>4.788</v>
      </c>
      <c r="S26" s="36">
        <v>537.9</v>
      </c>
      <c r="T26" s="6">
        <v>1227</v>
      </c>
      <c r="U26" s="37">
        <v>25.53</v>
      </c>
      <c r="V26" s="6">
        <v>1253</v>
      </c>
      <c r="W26" s="6">
        <v>-39.61</v>
      </c>
      <c r="X26" s="6">
        <v>2330</v>
      </c>
      <c r="Y26" s="39">
        <v>1.578</v>
      </c>
      <c r="Z26" s="32"/>
    </row>
    <row r="27" spans="1:25" ht="12.75">
      <c r="A27" s="6">
        <v>2023</v>
      </c>
      <c r="B27" s="53">
        <v>45070</v>
      </c>
      <c r="C27" s="37">
        <v>26.77</v>
      </c>
      <c r="D27" s="6">
        <v>1253</v>
      </c>
      <c r="E27" s="37">
        <v>13.07</v>
      </c>
      <c r="F27" s="6">
        <v>420</v>
      </c>
      <c r="G27" s="37">
        <v>19.35</v>
      </c>
      <c r="H27" s="37">
        <v>86.5</v>
      </c>
      <c r="I27" s="6">
        <v>435</v>
      </c>
      <c r="J27" s="37">
        <v>37.83</v>
      </c>
      <c r="K27" s="6">
        <v>1414</v>
      </c>
      <c r="L27" s="37">
        <v>65.98</v>
      </c>
      <c r="M27" s="38">
        <v>0</v>
      </c>
      <c r="N27" s="34">
        <v>1.589</v>
      </c>
      <c r="O27" s="34">
        <f>6.8*3.6</f>
        <v>24.48</v>
      </c>
      <c r="P27" s="6">
        <v>1107</v>
      </c>
      <c r="Q27" s="36">
        <v>22.25</v>
      </c>
      <c r="R27" s="37">
        <v>4.238</v>
      </c>
      <c r="S27" s="36">
        <v>720</v>
      </c>
      <c r="T27" s="6">
        <v>1230</v>
      </c>
      <c r="U27" s="6">
        <v>21.84</v>
      </c>
      <c r="V27" s="6">
        <v>1239</v>
      </c>
      <c r="W27" s="37">
        <v>-40.25</v>
      </c>
      <c r="X27" s="6">
        <v>101</v>
      </c>
      <c r="Y27" s="35">
        <v>1.459</v>
      </c>
    </row>
    <row r="28" spans="1:25" ht="12.75">
      <c r="A28" s="6">
        <v>2023</v>
      </c>
      <c r="B28" s="53">
        <v>45071</v>
      </c>
      <c r="C28" s="37">
        <v>27.76</v>
      </c>
      <c r="D28" s="6">
        <v>1417</v>
      </c>
      <c r="E28" s="37">
        <v>13.07</v>
      </c>
      <c r="F28" s="6">
        <v>648</v>
      </c>
      <c r="G28" s="37">
        <v>20.13</v>
      </c>
      <c r="H28" s="37">
        <v>91</v>
      </c>
      <c r="I28" s="6">
        <v>700</v>
      </c>
      <c r="J28" s="37">
        <v>37.37</v>
      </c>
      <c r="K28" s="6">
        <v>1608</v>
      </c>
      <c r="L28" s="37">
        <v>67.14</v>
      </c>
      <c r="M28" s="38">
        <v>0</v>
      </c>
      <c r="N28" s="34">
        <v>1.238</v>
      </c>
      <c r="O28" s="34">
        <f>6.5*3.6</f>
        <v>23.400000000000002</v>
      </c>
      <c r="P28" s="6">
        <v>1137</v>
      </c>
      <c r="Q28" s="36">
        <v>74.5</v>
      </c>
      <c r="R28" s="37">
        <v>4.454</v>
      </c>
      <c r="S28" s="36">
        <v>600.6</v>
      </c>
      <c r="T28" s="6">
        <v>1318</v>
      </c>
      <c r="U28" s="37">
        <v>24.91</v>
      </c>
      <c r="V28" s="6">
        <v>1214</v>
      </c>
      <c r="W28" s="6">
        <v>-37.62</v>
      </c>
      <c r="X28" s="6">
        <v>423</v>
      </c>
      <c r="Y28" s="35">
        <v>1.37</v>
      </c>
    </row>
    <row r="29" spans="1:25" ht="12.75">
      <c r="A29" s="6">
        <v>2023</v>
      </c>
      <c r="B29" s="53">
        <v>45072</v>
      </c>
      <c r="C29" s="37">
        <v>27.7</v>
      </c>
      <c r="D29" s="61">
        <v>1514</v>
      </c>
      <c r="E29" s="37">
        <v>13.47</v>
      </c>
      <c r="F29" s="6">
        <v>655</v>
      </c>
      <c r="G29" s="37">
        <v>20.36</v>
      </c>
      <c r="H29" s="37">
        <v>92</v>
      </c>
      <c r="I29" s="6">
        <v>701</v>
      </c>
      <c r="J29" s="37">
        <v>36.83</v>
      </c>
      <c r="K29" s="6">
        <v>1514</v>
      </c>
      <c r="L29" s="37">
        <v>62.13</v>
      </c>
      <c r="M29" s="38">
        <v>0</v>
      </c>
      <c r="N29" s="34">
        <v>1.025</v>
      </c>
      <c r="O29" s="34">
        <f>6.125*3.6</f>
        <v>22.05</v>
      </c>
      <c r="P29" s="6">
        <v>1001</v>
      </c>
      <c r="Q29" s="36">
        <v>36.2</v>
      </c>
      <c r="R29" s="37">
        <v>4.724</v>
      </c>
      <c r="S29" s="36">
        <v>553.1</v>
      </c>
      <c r="T29" s="6">
        <v>1236</v>
      </c>
      <c r="U29" s="37">
        <v>23.3</v>
      </c>
      <c r="V29" s="6">
        <v>1311</v>
      </c>
      <c r="W29" s="6">
        <v>-38.45</v>
      </c>
      <c r="X29" s="6">
        <v>226</v>
      </c>
      <c r="Y29" s="35">
        <v>1.545</v>
      </c>
    </row>
    <row r="30" spans="1:25" ht="12.75">
      <c r="A30" s="6">
        <v>2023</v>
      </c>
      <c r="B30" s="53">
        <v>45073</v>
      </c>
      <c r="C30" s="37">
        <v>28.62</v>
      </c>
      <c r="D30" s="6">
        <v>1603</v>
      </c>
      <c r="E30" s="37">
        <v>13.8</v>
      </c>
      <c r="F30" s="6">
        <v>641</v>
      </c>
      <c r="G30" s="37">
        <v>21.09</v>
      </c>
      <c r="H30" s="37">
        <v>91.2</v>
      </c>
      <c r="I30" s="6">
        <v>437</v>
      </c>
      <c r="J30" s="37">
        <v>38.29</v>
      </c>
      <c r="K30" s="6">
        <v>1530</v>
      </c>
      <c r="L30" s="37">
        <v>66.14</v>
      </c>
      <c r="M30" s="38">
        <v>0</v>
      </c>
      <c r="N30" s="34">
        <v>0.799</v>
      </c>
      <c r="O30" s="34">
        <f>5.45*3.6</f>
        <v>19.62</v>
      </c>
      <c r="P30" s="6">
        <v>1104</v>
      </c>
      <c r="Q30" s="36">
        <v>21.11</v>
      </c>
      <c r="R30" s="37">
        <v>4.572</v>
      </c>
      <c r="S30" s="36">
        <v>621.4</v>
      </c>
      <c r="T30" s="6">
        <v>1311</v>
      </c>
      <c r="U30" s="37">
        <v>25.56</v>
      </c>
      <c r="V30" s="6">
        <v>1228</v>
      </c>
      <c r="W30" s="37">
        <v>-37.8</v>
      </c>
      <c r="X30" s="6">
        <v>324</v>
      </c>
      <c r="Y30" s="35">
        <v>1.344</v>
      </c>
    </row>
    <row r="31" spans="1:25" ht="12.75">
      <c r="A31" s="6">
        <v>2023</v>
      </c>
      <c r="B31" s="53">
        <v>45074</v>
      </c>
      <c r="C31" s="37">
        <v>28.09</v>
      </c>
      <c r="D31" s="6">
        <v>1229</v>
      </c>
      <c r="E31" s="37">
        <v>14.53</v>
      </c>
      <c r="F31" s="6">
        <v>611</v>
      </c>
      <c r="G31" s="37">
        <v>20.39</v>
      </c>
      <c r="H31" s="37">
        <v>91.5</v>
      </c>
      <c r="I31" s="6">
        <v>637</v>
      </c>
      <c r="J31" s="37">
        <v>42.94</v>
      </c>
      <c r="K31" s="6">
        <v>1214</v>
      </c>
      <c r="L31" s="37">
        <v>72</v>
      </c>
      <c r="M31" s="38">
        <v>0</v>
      </c>
      <c r="N31" s="34">
        <v>1.423</v>
      </c>
      <c r="O31" s="34">
        <f>7.1*3.6</f>
        <v>25.56</v>
      </c>
      <c r="P31" s="6">
        <v>1413</v>
      </c>
      <c r="Q31" s="36">
        <v>230.1</v>
      </c>
      <c r="R31" s="37">
        <v>3.363</v>
      </c>
      <c r="S31" s="36">
        <v>576.9</v>
      </c>
      <c r="T31" s="6">
        <v>1222</v>
      </c>
      <c r="U31" s="6">
        <v>24.33</v>
      </c>
      <c r="V31" s="6">
        <v>1215</v>
      </c>
      <c r="W31" s="37">
        <v>-37.2</v>
      </c>
      <c r="X31" s="6">
        <v>118</v>
      </c>
      <c r="Y31" s="35">
        <v>1.172</v>
      </c>
    </row>
    <row r="32" spans="1:25" ht="12.75">
      <c r="A32" s="6">
        <v>2023</v>
      </c>
      <c r="B32" s="53">
        <v>45075</v>
      </c>
      <c r="C32" s="37">
        <v>25.51</v>
      </c>
      <c r="D32" s="6">
        <v>1454</v>
      </c>
      <c r="E32" s="37">
        <v>17.05</v>
      </c>
      <c r="F32" s="6">
        <v>637</v>
      </c>
      <c r="G32" s="37">
        <v>20.2</v>
      </c>
      <c r="H32" s="37">
        <v>91.39</v>
      </c>
      <c r="I32" s="6">
        <v>601</v>
      </c>
      <c r="J32" s="37">
        <v>52.69</v>
      </c>
      <c r="K32" s="6">
        <v>1454</v>
      </c>
      <c r="L32" s="37">
        <v>73.9</v>
      </c>
      <c r="M32" s="38">
        <v>0</v>
      </c>
      <c r="N32" s="34">
        <v>2.309</v>
      </c>
      <c r="O32" s="34">
        <f>5.75*3.6</f>
        <v>20.7</v>
      </c>
      <c r="P32" s="6">
        <v>1208</v>
      </c>
      <c r="Q32" s="36">
        <v>110.9</v>
      </c>
      <c r="R32" s="37">
        <v>3.117</v>
      </c>
      <c r="S32" s="36">
        <v>651.8</v>
      </c>
      <c r="T32" s="6">
        <v>1232</v>
      </c>
      <c r="U32" s="37">
        <v>11.2</v>
      </c>
      <c r="V32" s="6">
        <v>1324</v>
      </c>
      <c r="W32" s="37">
        <v>-29.71</v>
      </c>
      <c r="X32" s="6">
        <v>2323</v>
      </c>
      <c r="Y32" s="35">
        <v>1.039</v>
      </c>
    </row>
    <row r="33" spans="1:25" ht="12.75">
      <c r="A33" s="6">
        <v>2023</v>
      </c>
      <c r="B33" s="53">
        <v>45076</v>
      </c>
      <c r="C33" s="37">
        <v>23.87</v>
      </c>
      <c r="D33" s="6">
        <v>1340</v>
      </c>
      <c r="E33" s="37">
        <v>15.79</v>
      </c>
      <c r="F33" s="6">
        <v>2357</v>
      </c>
      <c r="G33" s="37">
        <v>18.59</v>
      </c>
      <c r="H33" s="37">
        <v>98</v>
      </c>
      <c r="I33" s="6">
        <v>2342</v>
      </c>
      <c r="J33" s="37">
        <v>61.34</v>
      </c>
      <c r="K33" s="6">
        <v>1342</v>
      </c>
      <c r="L33" s="37">
        <v>81.6</v>
      </c>
      <c r="M33" s="36">
        <v>26.8</v>
      </c>
      <c r="N33" s="34">
        <v>2.793</v>
      </c>
      <c r="O33" s="34">
        <f>6.575*3.6</f>
        <v>23.67</v>
      </c>
      <c r="P33" s="6">
        <v>2123</v>
      </c>
      <c r="Q33" s="36">
        <v>120.2</v>
      </c>
      <c r="R33" s="37">
        <v>1.932</v>
      </c>
      <c r="S33" s="36">
        <v>544.3</v>
      </c>
      <c r="T33" s="6">
        <v>950</v>
      </c>
      <c r="U33" s="37">
        <v>2.003</v>
      </c>
      <c r="V33" s="6">
        <v>1355</v>
      </c>
      <c r="W33" s="37">
        <v>-32.8</v>
      </c>
      <c r="X33" s="6">
        <v>2104</v>
      </c>
      <c r="Y33" s="35">
        <v>0.735</v>
      </c>
    </row>
    <row r="34" spans="1:25" ht="12.75">
      <c r="A34" s="6">
        <v>2023</v>
      </c>
      <c r="B34" s="53">
        <v>45077</v>
      </c>
      <c r="C34" s="37">
        <v>21.74</v>
      </c>
      <c r="D34" s="6">
        <v>1417</v>
      </c>
      <c r="E34" s="37">
        <v>14.73</v>
      </c>
      <c r="F34" s="6">
        <v>2308</v>
      </c>
      <c r="G34" s="37">
        <v>17.35</v>
      </c>
      <c r="H34" s="37">
        <v>99.2</v>
      </c>
      <c r="I34" s="6">
        <v>2356</v>
      </c>
      <c r="J34" s="37">
        <v>73.8</v>
      </c>
      <c r="K34" s="6">
        <v>1418</v>
      </c>
      <c r="L34" s="37">
        <v>90.5</v>
      </c>
      <c r="M34" s="6">
        <f>7.4+2.5</f>
        <v>9.9</v>
      </c>
      <c r="N34" s="34">
        <v>1.33</v>
      </c>
      <c r="O34" s="34">
        <f>5.825*3.6</f>
        <v>20.970000000000002</v>
      </c>
      <c r="P34" s="6">
        <v>17</v>
      </c>
      <c r="Q34" s="36">
        <v>115.5</v>
      </c>
      <c r="R34" s="37">
        <v>2.107</v>
      </c>
      <c r="S34" s="36">
        <v>590.8</v>
      </c>
      <c r="T34" s="6">
        <v>1414</v>
      </c>
      <c r="U34" s="6">
        <v>14.93</v>
      </c>
      <c r="V34" s="6">
        <v>1306</v>
      </c>
      <c r="W34" s="6">
        <v>-38.46</v>
      </c>
      <c r="X34" s="6">
        <v>2309</v>
      </c>
      <c r="Y34" s="35">
        <v>0.388</v>
      </c>
    </row>
    <row r="35" spans="3:25" ht="12.75">
      <c r="C35" s="40">
        <f>AVERAGE(C4:C34)</f>
        <v>27.400000000000002</v>
      </c>
      <c r="D35" s="33"/>
      <c r="E35" s="40">
        <f>AVERAGE(E4:E34)</f>
        <v>13.853225806451613</v>
      </c>
      <c r="F35" s="33"/>
      <c r="G35" s="40">
        <f>AVERAGE(G4:G34)</f>
        <v>20.094838709677425</v>
      </c>
      <c r="H35" s="40">
        <f>AVERAGE(H4:H34)</f>
        <v>91.49322580645159</v>
      </c>
      <c r="I35" s="33"/>
      <c r="J35" s="40">
        <f>AVERAGE(J4:J34)</f>
        <v>37.52322580645161</v>
      </c>
      <c r="K35" s="33"/>
      <c r="L35" s="40">
        <f>AVERAGE(L4:L34)</f>
        <v>67.03161290322582</v>
      </c>
      <c r="M35" s="41">
        <f>SUM(M4:M34)</f>
        <v>36.7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41">
        <f>SUM(Y4:Y34)</f>
        <v>41.504999999999995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80" zoomScaleSheetLayoutView="80" zoomScalePageLayoutView="0" workbookViewId="0" topLeftCell="B1">
      <selection activeCell="U16" sqref="U16:Y16"/>
    </sheetView>
  </sheetViews>
  <sheetFormatPr defaultColWidth="9.140625" defaultRowHeight="12.75"/>
  <cols>
    <col min="1" max="1" width="7.281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281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7.7109375" style="0" customWidth="1"/>
    <col min="19" max="19" width="8.7109375" style="0" customWidth="1"/>
    <col min="20" max="20" width="8.00390625" style="0" customWidth="1"/>
    <col min="21" max="21" width="8.281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70">
        <v>39448</v>
      </c>
      <c r="B1" s="70"/>
      <c r="C1" s="8">
        <v>1</v>
      </c>
      <c r="E1">
        <v>3.6</v>
      </c>
    </row>
    <row r="2" spans="1:25" ht="30">
      <c r="A2" s="71" t="s">
        <v>12</v>
      </c>
      <c r="B2" s="73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72"/>
      <c r="B3" s="74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2023</v>
      </c>
      <c r="B4" s="53">
        <v>45078</v>
      </c>
      <c r="C4" s="37">
        <v>23.85</v>
      </c>
      <c r="D4" s="6">
        <v>1519</v>
      </c>
      <c r="E4" s="37">
        <v>13.27</v>
      </c>
      <c r="F4" s="6">
        <v>440</v>
      </c>
      <c r="G4" s="37">
        <v>17.28</v>
      </c>
      <c r="H4" s="37">
        <v>98.06</v>
      </c>
      <c r="I4" s="6">
        <v>248</v>
      </c>
      <c r="J4" s="37">
        <v>56.2</v>
      </c>
      <c r="K4" s="6">
        <v>1452</v>
      </c>
      <c r="L4" s="37">
        <v>86.4</v>
      </c>
      <c r="M4" s="36">
        <v>0.3</v>
      </c>
      <c r="N4" s="34">
        <v>1.071</v>
      </c>
      <c r="O4" s="34">
        <f>4.7*3.6</f>
        <v>16.92</v>
      </c>
      <c r="P4" s="6">
        <v>1522</v>
      </c>
      <c r="Q4" s="36">
        <v>112.2</v>
      </c>
      <c r="R4" s="37">
        <v>4.604</v>
      </c>
      <c r="S4" s="36">
        <v>639.3</v>
      </c>
      <c r="T4" s="6">
        <v>1225</v>
      </c>
      <c r="U4" s="37">
        <v>28.14</v>
      </c>
      <c r="V4" s="6">
        <v>1346</v>
      </c>
      <c r="W4" s="6">
        <v>-41.42</v>
      </c>
      <c r="X4" s="6">
        <v>2336</v>
      </c>
      <c r="Y4" s="35">
        <v>0.951</v>
      </c>
    </row>
    <row r="5" spans="1:25" ht="12.75">
      <c r="A5" s="6">
        <v>2023</v>
      </c>
      <c r="B5" s="53">
        <v>45079</v>
      </c>
      <c r="C5" s="37">
        <v>25.37</v>
      </c>
      <c r="D5" s="6">
        <v>1500</v>
      </c>
      <c r="E5" s="37">
        <v>12.21</v>
      </c>
      <c r="F5" s="6">
        <v>456</v>
      </c>
      <c r="G5" s="37">
        <v>17.74</v>
      </c>
      <c r="H5" s="37">
        <v>97.12</v>
      </c>
      <c r="I5" s="6">
        <v>318</v>
      </c>
      <c r="J5" s="37">
        <v>39.15</v>
      </c>
      <c r="K5" s="6">
        <v>1542</v>
      </c>
      <c r="L5" s="37">
        <v>77.4</v>
      </c>
      <c r="M5" s="36">
        <v>0.1</v>
      </c>
      <c r="N5" s="34">
        <v>1.142</v>
      </c>
      <c r="O5" s="34">
        <f>5*3.6</f>
        <v>18</v>
      </c>
      <c r="P5" s="6">
        <v>1056</v>
      </c>
      <c r="Q5" s="36">
        <v>62.51</v>
      </c>
      <c r="R5" s="37">
        <v>5.357</v>
      </c>
      <c r="S5" s="36">
        <v>514.1</v>
      </c>
      <c r="T5" s="6">
        <v>1235</v>
      </c>
      <c r="U5" s="37">
        <v>30.87</v>
      </c>
      <c r="V5" s="6">
        <v>1313</v>
      </c>
      <c r="W5" s="6">
        <v>-41.99</v>
      </c>
      <c r="X5" s="6">
        <v>147</v>
      </c>
      <c r="Y5" s="35">
        <v>1.248</v>
      </c>
    </row>
    <row r="6" spans="1:25" ht="12.75">
      <c r="A6" s="6">
        <v>2023</v>
      </c>
      <c r="B6" s="53">
        <v>45080</v>
      </c>
      <c r="C6" s="37">
        <v>26.57</v>
      </c>
      <c r="D6" s="6">
        <v>1503</v>
      </c>
      <c r="E6" s="37">
        <v>11.88</v>
      </c>
      <c r="F6" s="6">
        <v>618</v>
      </c>
      <c r="G6" s="37">
        <v>18.59</v>
      </c>
      <c r="H6" s="37">
        <v>93.7</v>
      </c>
      <c r="I6" s="6">
        <v>629</v>
      </c>
      <c r="J6" s="37">
        <v>35.97</v>
      </c>
      <c r="K6" s="6">
        <v>1504</v>
      </c>
      <c r="L6" s="37">
        <v>69.1</v>
      </c>
      <c r="M6" s="38">
        <v>0</v>
      </c>
      <c r="N6" s="34">
        <v>1.052</v>
      </c>
      <c r="O6" s="34">
        <f>5.3*3.6</f>
        <v>19.08</v>
      </c>
      <c r="P6" s="6">
        <v>1206</v>
      </c>
      <c r="Q6" s="36">
        <v>44.68</v>
      </c>
      <c r="R6" s="37">
        <v>5.375</v>
      </c>
      <c r="S6" s="36">
        <v>554.4</v>
      </c>
      <c r="T6" s="6">
        <v>1140</v>
      </c>
      <c r="U6" s="6">
        <v>29.02</v>
      </c>
      <c r="V6" s="6">
        <v>1310</v>
      </c>
      <c r="W6" s="37">
        <v>-41</v>
      </c>
      <c r="X6" s="6">
        <v>211</v>
      </c>
      <c r="Y6" s="35">
        <v>1.413</v>
      </c>
    </row>
    <row r="7" spans="1:25" ht="12.75">
      <c r="A7" s="6">
        <v>2023</v>
      </c>
      <c r="B7" s="53">
        <v>45081</v>
      </c>
      <c r="C7" s="37">
        <v>27.5</v>
      </c>
      <c r="D7" s="6">
        <v>1502</v>
      </c>
      <c r="E7" s="37">
        <v>12.01</v>
      </c>
      <c r="F7" s="6">
        <v>620</v>
      </c>
      <c r="G7" s="37">
        <v>19</v>
      </c>
      <c r="H7" s="37">
        <v>93</v>
      </c>
      <c r="I7" s="6">
        <v>655</v>
      </c>
      <c r="J7" s="37">
        <v>31.58</v>
      </c>
      <c r="K7" s="6">
        <v>1503</v>
      </c>
      <c r="L7" s="37">
        <v>65.31</v>
      </c>
      <c r="M7" s="38">
        <v>0</v>
      </c>
      <c r="N7" s="34">
        <v>0.706</v>
      </c>
      <c r="O7" s="34">
        <f>4.625*3.6</f>
        <v>16.650000000000002</v>
      </c>
      <c r="P7" s="6">
        <v>1201</v>
      </c>
      <c r="Q7" s="36">
        <v>30.64</v>
      </c>
      <c r="R7" s="37">
        <v>5.269</v>
      </c>
      <c r="S7" s="36">
        <v>548.1</v>
      </c>
      <c r="T7" s="6">
        <v>1154</v>
      </c>
      <c r="U7" s="37">
        <v>31.79</v>
      </c>
      <c r="V7" s="6">
        <v>1314</v>
      </c>
      <c r="W7" s="6">
        <v>-40.43</v>
      </c>
      <c r="X7" s="6">
        <v>2359</v>
      </c>
      <c r="Y7" s="39">
        <v>1.486</v>
      </c>
    </row>
    <row r="8" spans="1:25" ht="12.75">
      <c r="A8" s="6">
        <v>2023</v>
      </c>
      <c r="B8" s="53">
        <v>45082</v>
      </c>
      <c r="C8" s="37">
        <v>25.9</v>
      </c>
      <c r="D8" s="6">
        <v>1352</v>
      </c>
      <c r="E8" s="37">
        <v>12.15</v>
      </c>
      <c r="F8" s="6">
        <v>631</v>
      </c>
      <c r="G8" s="37">
        <v>18.53</v>
      </c>
      <c r="H8" s="37">
        <v>88.9</v>
      </c>
      <c r="I8" s="6">
        <v>637</v>
      </c>
      <c r="J8" s="37">
        <v>35.64</v>
      </c>
      <c r="K8" s="6">
        <v>1524</v>
      </c>
      <c r="L8" s="37">
        <v>66.47</v>
      </c>
      <c r="M8" s="38">
        <v>0</v>
      </c>
      <c r="N8" s="34">
        <v>0.58</v>
      </c>
      <c r="O8" s="34">
        <f>5.3*3.6</f>
        <v>19.08</v>
      </c>
      <c r="P8" s="6">
        <v>1222</v>
      </c>
      <c r="Q8" s="36">
        <v>96.8</v>
      </c>
      <c r="R8" s="37">
        <v>4.98</v>
      </c>
      <c r="S8" s="36">
        <v>517.4</v>
      </c>
      <c r="T8" s="6">
        <v>1200</v>
      </c>
      <c r="U8" s="6">
        <v>29.26</v>
      </c>
      <c r="V8" s="6">
        <v>1231</v>
      </c>
      <c r="W8" s="37">
        <v>-40.73</v>
      </c>
      <c r="X8" s="6">
        <v>43</v>
      </c>
      <c r="Y8" s="35">
        <v>1.416</v>
      </c>
    </row>
    <row r="9" spans="1:25" ht="12.75">
      <c r="A9" s="6">
        <v>2023</v>
      </c>
      <c r="B9" s="53">
        <v>45083</v>
      </c>
      <c r="C9" s="37">
        <v>25.77</v>
      </c>
      <c r="D9" s="6">
        <v>1539</v>
      </c>
      <c r="E9" s="37">
        <v>12.01</v>
      </c>
      <c r="F9" s="6">
        <v>306</v>
      </c>
      <c r="G9" s="37">
        <v>18.16</v>
      </c>
      <c r="H9" s="37">
        <v>92.5</v>
      </c>
      <c r="I9" s="6">
        <v>650</v>
      </c>
      <c r="J9" s="37">
        <v>34.67</v>
      </c>
      <c r="K9" s="6">
        <v>1431</v>
      </c>
      <c r="L9" s="37">
        <v>65.5</v>
      </c>
      <c r="M9" s="38">
        <v>0</v>
      </c>
      <c r="N9" s="34">
        <v>1.183</v>
      </c>
      <c r="O9" s="34">
        <f>5.225*3.6</f>
        <v>18.81</v>
      </c>
      <c r="P9" s="6">
        <v>1028</v>
      </c>
      <c r="Q9" s="36">
        <v>51.67</v>
      </c>
      <c r="R9" s="37">
        <v>4.896</v>
      </c>
      <c r="S9" s="36">
        <v>551.1</v>
      </c>
      <c r="T9" s="6">
        <v>1226</v>
      </c>
      <c r="U9" s="37">
        <v>26.88</v>
      </c>
      <c r="V9" s="6">
        <v>1339</v>
      </c>
      <c r="W9" s="6">
        <v>-40.51</v>
      </c>
      <c r="X9" s="6">
        <v>118</v>
      </c>
      <c r="Y9" s="35">
        <v>1.245</v>
      </c>
    </row>
    <row r="10" spans="1:25" ht="12.75">
      <c r="A10" s="6">
        <v>2023</v>
      </c>
      <c r="B10" s="53">
        <v>45084</v>
      </c>
      <c r="C10" s="37">
        <v>27.23</v>
      </c>
      <c r="D10" s="6">
        <v>1509</v>
      </c>
      <c r="E10" s="37">
        <v>11.68</v>
      </c>
      <c r="F10" s="6">
        <v>604</v>
      </c>
      <c r="G10" s="37">
        <v>18.92</v>
      </c>
      <c r="H10" s="37">
        <v>91.2</v>
      </c>
      <c r="I10" s="6">
        <v>613</v>
      </c>
      <c r="J10" s="37">
        <v>32.44</v>
      </c>
      <c r="K10" s="6">
        <v>1400</v>
      </c>
      <c r="L10" s="37">
        <v>64.2</v>
      </c>
      <c r="M10" s="38">
        <v>0</v>
      </c>
      <c r="N10" s="34">
        <v>0.85</v>
      </c>
      <c r="O10" s="34">
        <f>4.625*3.6</f>
        <v>16.650000000000002</v>
      </c>
      <c r="P10" s="6">
        <v>934</v>
      </c>
      <c r="Q10" s="36">
        <v>75.5</v>
      </c>
      <c r="R10" s="37">
        <v>4.779</v>
      </c>
      <c r="S10" s="36">
        <v>522.7</v>
      </c>
      <c r="T10" s="6">
        <v>1359</v>
      </c>
      <c r="U10" s="37">
        <v>31.94</v>
      </c>
      <c r="V10" s="6">
        <v>1333</v>
      </c>
      <c r="W10" s="37">
        <v>-37.48</v>
      </c>
      <c r="X10" s="6">
        <v>301</v>
      </c>
      <c r="Y10" s="35">
        <v>1.47</v>
      </c>
    </row>
    <row r="11" spans="1:25" ht="12.75">
      <c r="A11" s="6">
        <v>2023</v>
      </c>
      <c r="B11" s="53">
        <v>45085</v>
      </c>
      <c r="C11" s="37">
        <v>27.24</v>
      </c>
      <c r="D11" s="6">
        <v>1413</v>
      </c>
      <c r="E11" s="37">
        <v>12.87</v>
      </c>
      <c r="F11" s="6">
        <v>614</v>
      </c>
      <c r="G11" s="37">
        <v>19.35</v>
      </c>
      <c r="H11" s="37">
        <v>89.6</v>
      </c>
      <c r="I11" s="6">
        <v>617</v>
      </c>
      <c r="J11" s="37">
        <v>35.31</v>
      </c>
      <c r="K11" s="6">
        <v>1538</v>
      </c>
      <c r="L11" s="37">
        <v>65.86</v>
      </c>
      <c r="M11" s="38">
        <v>0</v>
      </c>
      <c r="N11" s="34">
        <v>0.724</v>
      </c>
      <c r="O11" s="34">
        <f>4.25*3.6</f>
        <v>15.3</v>
      </c>
      <c r="P11" s="6">
        <v>1220</v>
      </c>
      <c r="Q11" s="36">
        <v>2.922</v>
      </c>
      <c r="R11" s="37">
        <v>4.629</v>
      </c>
      <c r="S11" s="36">
        <v>525.7</v>
      </c>
      <c r="T11" s="6">
        <v>1210</v>
      </c>
      <c r="U11" s="37">
        <v>28.76</v>
      </c>
      <c r="V11" s="6">
        <v>1319</v>
      </c>
      <c r="W11" s="37">
        <v>-37.71</v>
      </c>
      <c r="X11" s="6">
        <v>201</v>
      </c>
      <c r="Y11" s="6">
        <v>1.379</v>
      </c>
    </row>
    <row r="12" spans="1:25" ht="12.75">
      <c r="A12" s="6">
        <v>2023</v>
      </c>
      <c r="B12" s="53">
        <v>45086</v>
      </c>
      <c r="C12" s="37">
        <v>27.63</v>
      </c>
      <c r="D12" s="6">
        <v>1417</v>
      </c>
      <c r="E12" s="37">
        <v>11.81</v>
      </c>
      <c r="F12" s="6">
        <v>615</v>
      </c>
      <c r="G12" s="37">
        <v>19.74</v>
      </c>
      <c r="H12" s="37">
        <v>92.7</v>
      </c>
      <c r="I12" s="6">
        <v>621</v>
      </c>
      <c r="J12" s="37">
        <v>29.33</v>
      </c>
      <c r="K12" s="6">
        <v>1452</v>
      </c>
      <c r="L12" s="37">
        <v>59.92</v>
      </c>
      <c r="M12" s="38">
        <v>0</v>
      </c>
      <c r="N12" s="34">
        <v>0.77</v>
      </c>
      <c r="O12" s="34">
        <f>4.625*3.6</f>
        <v>16.650000000000002</v>
      </c>
      <c r="P12" s="6">
        <v>1409</v>
      </c>
      <c r="Q12" s="36">
        <v>297.5</v>
      </c>
      <c r="R12" s="37">
        <v>4.774</v>
      </c>
      <c r="S12" s="36">
        <v>565.6</v>
      </c>
      <c r="T12" s="6">
        <v>1220</v>
      </c>
      <c r="U12" s="37">
        <v>30.24</v>
      </c>
      <c r="V12" s="6">
        <v>1340</v>
      </c>
      <c r="W12" s="37">
        <v>-37.21</v>
      </c>
      <c r="X12" s="6">
        <v>51</v>
      </c>
      <c r="Y12" s="35">
        <v>1.394</v>
      </c>
    </row>
    <row r="13" spans="1:25" ht="12.75">
      <c r="A13" s="6">
        <v>2023</v>
      </c>
      <c r="B13" s="53">
        <v>45087</v>
      </c>
      <c r="C13" s="37">
        <v>29.28</v>
      </c>
      <c r="D13" s="6">
        <v>1605</v>
      </c>
      <c r="E13" s="37">
        <v>11.61</v>
      </c>
      <c r="F13" s="6">
        <v>524</v>
      </c>
      <c r="G13" s="37">
        <v>20.23</v>
      </c>
      <c r="H13" s="37">
        <v>94.1</v>
      </c>
      <c r="I13" s="6">
        <v>530</v>
      </c>
      <c r="J13" s="37">
        <v>31.45</v>
      </c>
      <c r="K13" s="6">
        <v>1514</v>
      </c>
      <c r="L13" s="37">
        <v>62.03</v>
      </c>
      <c r="M13" s="38">
        <v>0</v>
      </c>
      <c r="N13" s="34">
        <v>0.558</v>
      </c>
      <c r="O13" s="34">
        <f>3.6*3.575</f>
        <v>12.870000000000001</v>
      </c>
      <c r="P13" s="6">
        <v>1234</v>
      </c>
      <c r="Q13" s="36">
        <v>8.86</v>
      </c>
      <c r="R13" s="37">
        <v>4.704</v>
      </c>
      <c r="S13" s="36">
        <v>534.8</v>
      </c>
      <c r="T13" s="6">
        <v>1229</v>
      </c>
      <c r="U13" s="37">
        <v>30.88</v>
      </c>
      <c r="V13" s="6">
        <v>1233</v>
      </c>
      <c r="W13" s="6">
        <v>-37.45</v>
      </c>
      <c r="X13" s="6">
        <v>606</v>
      </c>
      <c r="Y13" s="39">
        <v>1.561</v>
      </c>
    </row>
    <row r="14" spans="1:26" ht="12.75">
      <c r="A14" s="6">
        <v>2023</v>
      </c>
      <c r="B14" s="53">
        <v>45088</v>
      </c>
      <c r="C14" s="37">
        <v>29.54</v>
      </c>
      <c r="D14" s="6">
        <v>1455</v>
      </c>
      <c r="E14" s="37">
        <v>13.4</v>
      </c>
      <c r="F14" s="6">
        <v>521</v>
      </c>
      <c r="G14" s="37">
        <v>20.42</v>
      </c>
      <c r="H14" s="37">
        <v>87.3</v>
      </c>
      <c r="I14" s="6">
        <v>525</v>
      </c>
      <c r="J14" s="37">
        <v>27.8</v>
      </c>
      <c r="K14" s="6">
        <v>1447</v>
      </c>
      <c r="L14" s="37">
        <v>60.79</v>
      </c>
      <c r="M14" s="38">
        <v>0</v>
      </c>
      <c r="N14" s="34">
        <v>0.671</v>
      </c>
      <c r="O14" s="34">
        <f>5.075*3.6</f>
        <v>18.27</v>
      </c>
      <c r="P14" s="6">
        <v>1119</v>
      </c>
      <c r="Q14" s="36">
        <v>318</v>
      </c>
      <c r="R14" s="37">
        <v>4.247</v>
      </c>
      <c r="S14" s="6">
        <v>568.3</v>
      </c>
      <c r="T14" s="6">
        <v>1118</v>
      </c>
      <c r="U14" s="6">
        <v>28.49</v>
      </c>
      <c r="V14" s="6">
        <v>1322</v>
      </c>
      <c r="W14" s="37">
        <v>-36.45</v>
      </c>
      <c r="X14" s="6">
        <v>144</v>
      </c>
      <c r="Y14" s="35">
        <v>1.47</v>
      </c>
      <c r="Z14" s="13"/>
    </row>
    <row r="15" spans="1:25" ht="12.75">
      <c r="A15" s="6">
        <v>2023</v>
      </c>
      <c r="B15" s="53">
        <v>45089</v>
      </c>
      <c r="C15" s="37">
        <v>29.41</v>
      </c>
      <c r="D15" s="6">
        <v>1413</v>
      </c>
      <c r="E15" s="37">
        <v>13.47</v>
      </c>
      <c r="F15" s="6">
        <v>652</v>
      </c>
      <c r="G15" s="37">
        <v>21.47</v>
      </c>
      <c r="H15" s="37">
        <v>84.5</v>
      </c>
      <c r="I15" s="6">
        <v>633</v>
      </c>
      <c r="J15" s="37">
        <v>24.48</v>
      </c>
      <c r="K15" s="6">
        <v>1549</v>
      </c>
      <c r="L15" s="37">
        <v>59.19</v>
      </c>
      <c r="M15" s="38">
        <v>0</v>
      </c>
      <c r="N15" s="34">
        <v>0.89</v>
      </c>
      <c r="O15" s="34">
        <f>9.95*3.6</f>
        <v>35.82</v>
      </c>
      <c r="P15" s="6">
        <v>1515</v>
      </c>
      <c r="Q15" s="36">
        <v>255</v>
      </c>
      <c r="R15" s="37">
        <v>4.478</v>
      </c>
      <c r="S15" s="36">
        <v>522.8</v>
      </c>
      <c r="T15" s="6">
        <v>1204</v>
      </c>
      <c r="U15" s="6">
        <v>28.53</v>
      </c>
      <c r="V15" s="6">
        <v>1242</v>
      </c>
      <c r="W15" s="6">
        <v>-35.76</v>
      </c>
      <c r="X15" s="6">
        <v>329</v>
      </c>
      <c r="Y15" s="35">
        <v>1.614</v>
      </c>
    </row>
    <row r="16" spans="1:25" ht="12.75">
      <c r="A16" s="6">
        <v>2023</v>
      </c>
      <c r="B16" s="53">
        <v>45090</v>
      </c>
      <c r="C16" s="37">
        <v>25.18</v>
      </c>
      <c r="D16" s="6">
        <v>1602</v>
      </c>
      <c r="E16" s="37">
        <v>17.57</v>
      </c>
      <c r="F16" s="6">
        <v>648</v>
      </c>
      <c r="G16" s="37">
        <v>20.67</v>
      </c>
      <c r="H16" s="37">
        <v>84.6</v>
      </c>
      <c r="I16" s="6">
        <v>713</v>
      </c>
      <c r="J16" s="37">
        <v>55.88</v>
      </c>
      <c r="K16" s="6">
        <v>1603</v>
      </c>
      <c r="L16" s="37">
        <v>74.6</v>
      </c>
      <c r="M16" s="38">
        <v>0</v>
      </c>
      <c r="N16" s="34">
        <v>2.047</v>
      </c>
      <c r="O16" s="34">
        <f>5.6*3.6</f>
        <v>20.16</v>
      </c>
      <c r="P16" s="6">
        <v>829</v>
      </c>
      <c r="Q16" s="36">
        <v>101.2</v>
      </c>
      <c r="R16" s="37">
        <v>2.21</v>
      </c>
      <c r="S16" s="36">
        <v>449.7</v>
      </c>
      <c r="T16" s="6">
        <v>1126</v>
      </c>
      <c r="U16" s="37">
        <v>5.534</v>
      </c>
      <c r="V16" s="6">
        <v>1226</v>
      </c>
      <c r="W16" s="37">
        <v>-23.85</v>
      </c>
      <c r="X16" s="6">
        <v>2</v>
      </c>
      <c r="Y16" s="39">
        <v>0.963</v>
      </c>
    </row>
    <row r="17" spans="1:25" ht="12.75">
      <c r="A17" s="6">
        <v>2023</v>
      </c>
      <c r="B17" s="53">
        <v>45091</v>
      </c>
      <c r="C17" s="37">
        <v>20.62</v>
      </c>
      <c r="D17" s="6">
        <v>1259</v>
      </c>
      <c r="E17" s="37">
        <v>16.12</v>
      </c>
      <c r="F17" s="6">
        <v>2359</v>
      </c>
      <c r="G17" s="37">
        <v>17.66</v>
      </c>
      <c r="H17" s="37">
        <v>97.5</v>
      </c>
      <c r="I17" s="6">
        <v>1000</v>
      </c>
      <c r="J17" s="37">
        <v>78.8</v>
      </c>
      <c r="K17" s="6">
        <v>1300</v>
      </c>
      <c r="L17" s="37">
        <v>89</v>
      </c>
      <c r="M17" s="36">
        <v>3.8</v>
      </c>
      <c r="N17" s="34">
        <v>3.103</v>
      </c>
      <c r="O17" s="34">
        <f>8.07*3.6</f>
        <v>29.052000000000003</v>
      </c>
      <c r="P17" s="6">
        <v>1138</v>
      </c>
      <c r="Q17" s="36">
        <v>131.6</v>
      </c>
      <c r="R17" s="37">
        <v>1.605</v>
      </c>
      <c r="S17" s="36">
        <v>539.8</v>
      </c>
      <c r="T17" s="6">
        <v>1258</v>
      </c>
      <c r="U17" s="37">
        <v>2.434</v>
      </c>
      <c r="V17" s="6">
        <v>1317</v>
      </c>
      <c r="W17" s="37">
        <v>-24.96</v>
      </c>
      <c r="X17" s="6">
        <v>1949</v>
      </c>
      <c r="Y17" s="39">
        <v>0.391</v>
      </c>
    </row>
    <row r="18" spans="1:25" ht="12.75">
      <c r="A18" s="6">
        <v>2023</v>
      </c>
      <c r="B18" s="53">
        <v>45092</v>
      </c>
      <c r="C18" s="37">
        <v>16.58</v>
      </c>
      <c r="D18" s="6">
        <v>136</v>
      </c>
      <c r="E18" s="37">
        <v>12.67</v>
      </c>
      <c r="F18" s="6">
        <v>2215</v>
      </c>
      <c r="G18" s="37">
        <v>14.82</v>
      </c>
      <c r="H18" s="37">
        <v>99.9</v>
      </c>
      <c r="I18" s="6">
        <v>1404</v>
      </c>
      <c r="J18" s="37">
        <v>93.6</v>
      </c>
      <c r="K18" s="6">
        <v>134</v>
      </c>
      <c r="L18" s="37">
        <v>98.6</v>
      </c>
      <c r="M18" s="6">
        <v>28.6</v>
      </c>
      <c r="N18" s="34">
        <v>1.456</v>
      </c>
      <c r="O18" s="34">
        <f>6.2*3.6</f>
        <v>22.32</v>
      </c>
      <c r="P18" s="6">
        <v>834</v>
      </c>
      <c r="Q18" s="36">
        <v>208.9</v>
      </c>
      <c r="R18" s="37">
        <v>0.356</v>
      </c>
      <c r="S18" s="36">
        <v>28.05</v>
      </c>
      <c r="T18" s="6">
        <v>1123</v>
      </c>
      <c r="U18" s="37">
        <v>0.27</v>
      </c>
      <c r="V18" s="6">
        <v>1536</v>
      </c>
      <c r="W18" s="37">
        <v>-45.92</v>
      </c>
      <c r="X18" s="6">
        <v>1355</v>
      </c>
      <c r="Y18" s="35">
        <v>0.049</v>
      </c>
    </row>
    <row r="19" spans="1:25" ht="12.75">
      <c r="A19" s="6">
        <v>2023</v>
      </c>
      <c r="B19" s="53">
        <v>45093</v>
      </c>
      <c r="C19" s="37">
        <v>14.92</v>
      </c>
      <c r="D19" s="6">
        <v>1431</v>
      </c>
      <c r="E19" s="37">
        <v>10.16</v>
      </c>
      <c r="F19" s="6">
        <v>2353</v>
      </c>
      <c r="G19" s="37">
        <v>12.74</v>
      </c>
      <c r="H19" s="37">
        <v>99.8</v>
      </c>
      <c r="I19" s="6">
        <v>0</v>
      </c>
      <c r="J19" s="37">
        <v>84.5</v>
      </c>
      <c r="K19" s="6">
        <v>1442</v>
      </c>
      <c r="L19" s="37">
        <v>95.5</v>
      </c>
      <c r="M19" s="6">
        <v>0</v>
      </c>
      <c r="N19" s="34">
        <v>1.209</v>
      </c>
      <c r="O19" s="34">
        <f>4.175*3.6</f>
        <v>15.03</v>
      </c>
      <c r="P19" s="6">
        <v>543</v>
      </c>
      <c r="Q19" s="36">
        <v>231.1</v>
      </c>
      <c r="R19" s="37">
        <v>2.022</v>
      </c>
      <c r="S19" s="6">
        <v>378.5</v>
      </c>
      <c r="T19" s="6">
        <v>1437</v>
      </c>
      <c r="U19" s="6">
        <v>-1.38</v>
      </c>
      <c r="V19" s="6">
        <v>1451</v>
      </c>
      <c r="W19" s="6">
        <v>-38.82</v>
      </c>
      <c r="X19" s="6">
        <v>2356</v>
      </c>
      <c r="Y19" s="35">
        <v>0.266</v>
      </c>
    </row>
    <row r="20" spans="1:25" ht="12.75">
      <c r="A20" s="6">
        <v>2023</v>
      </c>
      <c r="B20" s="53">
        <v>45094</v>
      </c>
      <c r="C20" s="37">
        <v>19.48</v>
      </c>
      <c r="D20" s="6">
        <v>1519</v>
      </c>
      <c r="E20" s="37">
        <v>8.7</v>
      </c>
      <c r="F20" s="6">
        <v>214</v>
      </c>
      <c r="G20" s="37">
        <v>13.05</v>
      </c>
      <c r="H20" s="37">
        <v>99.5</v>
      </c>
      <c r="I20" s="6">
        <v>4</v>
      </c>
      <c r="J20" s="37">
        <v>48.6</v>
      </c>
      <c r="K20" s="6">
        <v>1503</v>
      </c>
      <c r="L20" s="37">
        <v>82.4</v>
      </c>
      <c r="M20" s="6">
        <v>0.3</v>
      </c>
      <c r="N20" s="34">
        <v>0.558</v>
      </c>
      <c r="O20" s="34">
        <f>3.5*3.6</f>
        <v>12.6</v>
      </c>
      <c r="P20" s="6">
        <v>1437</v>
      </c>
      <c r="Q20" s="36">
        <v>232.9</v>
      </c>
      <c r="R20" s="37">
        <v>5.076</v>
      </c>
      <c r="S20" s="36">
        <v>601.5</v>
      </c>
      <c r="T20" s="6">
        <v>1216</v>
      </c>
      <c r="U20" s="37">
        <v>23.53</v>
      </c>
      <c r="V20" s="6">
        <v>1341</v>
      </c>
      <c r="W20" s="6">
        <v>-38.67</v>
      </c>
      <c r="X20" s="6">
        <v>2</v>
      </c>
      <c r="Y20" s="35">
        <v>0.892</v>
      </c>
    </row>
    <row r="21" spans="1:25" ht="12.75">
      <c r="A21" s="6">
        <v>2023</v>
      </c>
      <c r="B21" s="53">
        <v>45095</v>
      </c>
      <c r="C21" s="37">
        <v>22.19</v>
      </c>
      <c r="D21" s="6">
        <v>1515</v>
      </c>
      <c r="E21" s="37">
        <v>7.25</v>
      </c>
      <c r="F21" s="6">
        <v>624</v>
      </c>
      <c r="G21" s="37">
        <v>13.92</v>
      </c>
      <c r="H21" s="37">
        <v>98.4</v>
      </c>
      <c r="I21" s="6">
        <v>651</v>
      </c>
      <c r="J21" s="37">
        <v>36.5</v>
      </c>
      <c r="K21" s="6">
        <v>1524</v>
      </c>
      <c r="L21" s="37">
        <v>73.3</v>
      </c>
      <c r="M21" s="6">
        <v>0</v>
      </c>
      <c r="N21" s="34">
        <v>0.784</v>
      </c>
      <c r="O21" s="34">
        <f>4.55*3.6</f>
        <v>16.38</v>
      </c>
      <c r="P21" s="6">
        <v>1005</v>
      </c>
      <c r="Q21" s="36">
        <v>85.7</v>
      </c>
      <c r="R21" s="37">
        <v>5.685</v>
      </c>
      <c r="S21" s="36">
        <v>511</v>
      </c>
      <c r="T21" s="6">
        <v>1229</v>
      </c>
      <c r="U21" s="37">
        <v>28.37</v>
      </c>
      <c r="V21" s="6">
        <v>1326</v>
      </c>
      <c r="W21" s="37">
        <v>-39.87</v>
      </c>
      <c r="X21" s="6">
        <v>417</v>
      </c>
      <c r="Y21" s="35">
        <v>1.155</v>
      </c>
    </row>
    <row r="22" spans="1:25" ht="12.75">
      <c r="A22" s="6">
        <v>2023</v>
      </c>
      <c r="B22" s="53">
        <v>45096</v>
      </c>
      <c r="C22" s="37">
        <v>26.04</v>
      </c>
      <c r="D22" s="6">
        <v>1602</v>
      </c>
      <c r="E22" s="37">
        <v>7.91</v>
      </c>
      <c r="F22" s="6">
        <v>705</v>
      </c>
      <c r="G22" s="37">
        <v>16.14</v>
      </c>
      <c r="H22" s="37">
        <v>96.2</v>
      </c>
      <c r="I22" s="6">
        <v>712</v>
      </c>
      <c r="J22" s="37">
        <v>31.06</v>
      </c>
      <c r="K22" s="6">
        <v>1602</v>
      </c>
      <c r="L22" s="37">
        <v>67.95</v>
      </c>
      <c r="M22" s="6">
        <v>0</v>
      </c>
      <c r="N22" s="34">
        <v>1.132</v>
      </c>
      <c r="O22" s="34">
        <f>4.325*3.6</f>
        <v>15.57</v>
      </c>
      <c r="P22" s="6">
        <v>912</v>
      </c>
      <c r="Q22" s="36">
        <v>108.4</v>
      </c>
      <c r="R22" s="37">
        <v>5.409</v>
      </c>
      <c r="S22" s="36">
        <v>546</v>
      </c>
      <c r="T22" s="6">
        <v>1233</v>
      </c>
      <c r="U22" s="37">
        <v>33.74</v>
      </c>
      <c r="V22" s="6">
        <v>1309</v>
      </c>
      <c r="W22" s="37">
        <v>-39.59</v>
      </c>
      <c r="X22" s="6">
        <v>241</v>
      </c>
      <c r="Y22" s="35">
        <v>1.295</v>
      </c>
    </row>
    <row r="23" spans="1:25" ht="12.75">
      <c r="A23" s="6">
        <v>2023</v>
      </c>
      <c r="B23" s="53">
        <v>45097</v>
      </c>
      <c r="C23" s="37">
        <v>27.29</v>
      </c>
      <c r="D23" s="6">
        <v>1537</v>
      </c>
      <c r="E23" s="37">
        <v>10.76</v>
      </c>
      <c r="F23" s="6">
        <v>646</v>
      </c>
      <c r="G23" s="37">
        <v>18.52</v>
      </c>
      <c r="H23" s="37">
        <v>92.4</v>
      </c>
      <c r="I23" s="6">
        <v>651</v>
      </c>
      <c r="J23" s="37">
        <v>27.08</v>
      </c>
      <c r="K23" s="6">
        <v>1443</v>
      </c>
      <c r="L23" s="37">
        <v>63.61</v>
      </c>
      <c r="M23" s="6">
        <v>0</v>
      </c>
      <c r="N23" s="34">
        <v>1.09</v>
      </c>
      <c r="O23" s="34">
        <f>4.55*3.6</f>
        <v>16.38</v>
      </c>
      <c r="P23" s="6">
        <v>1029</v>
      </c>
      <c r="Q23" s="36">
        <v>87.6</v>
      </c>
      <c r="R23" s="37">
        <v>5.191</v>
      </c>
      <c r="S23" s="36">
        <v>528.6</v>
      </c>
      <c r="T23" s="6">
        <v>1228</v>
      </c>
      <c r="U23" s="6">
        <v>35.47</v>
      </c>
      <c r="V23" s="6">
        <v>1335</v>
      </c>
      <c r="W23" s="6">
        <v>-33.59</v>
      </c>
      <c r="X23" s="6">
        <v>617</v>
      </c>
      <c r="Y23" s="35">
        <v>1.375</v>
      </c>
    </row>
    <row r="24" spans="1:25" ht="12.75">
      <c r="A24" s="6">
        <v>2023</v>
      </c>
      <c r="B24" s="53">
        <v>45098</v>
      </c>
      <c r="C24" s="37">
        <v>26.04</v>
      </c>
      <c r="D24" s="6">
        <v>1404</v>
      </c>
      <c r="E24" s="37">
        <v>10.69</v>
      </c>
      <c r="F24" s="6">
        <v>650</v>
      </c>
      <c r="G24" s="37">
        <v>18.47</v>
      </c>
      <c r="H24" s="37">
        <v>92.9</v>
      </c>
      <c r="I24" s="6">
        <v>653</v>
      </c>
      <c r="J24" s="37">
        <v>32.79</v>
      </c>
      <c r="K24" s="6">
        <v>1455</v>
      </c>
      <c r="L24" s="37">
        <v>64.32</v>
      </c>
      <c r="M24" s="6">
        <v>0</v>
      </c>
      <c r="N24" s="34">
        <v>1.076</v>
      </c>
      <c r="O24" s="34">
        <f>5*3.6</f>
        <v>18</v>
      </c>
      <c r="P24" s="6">
        <v>1314</v>
      </c>
      <c r="Q24" s="36">
        <v>0.094</v>
      </c>
      <c r="R24" s="37">
        <v>5.019</v>
      </c>
      <c r="S24" s="36">
        <v>532.7</v>
      </c>
      <c r="T24" s="6">
        <v>1223</v>
      </c>
      <c r="U24" s="37">
        <v>31.82</v>
      </c>
      <c r="V24" s="6">
        <v>1310</v>
      </c>
      <c r="W24" s="6">
        <v>-36.68</v>
      </c>
      <c r="X24" s="6">
        <v>658</v>
      </c>
      <c r="Y24" s="35">
        <v>1.384</v>
      </c>
    </row>
    <row r="25" spans="1:25" ht="12.75">
      <c r="A25" s="6">
        <v>2023</v>
      </c>
      <c r="B25" s="53">
        <v>45099</v>
      </c>
      <c r="C25" s="37">
        <v>26.24</v>
      </c>
      <c r="D25" s="6">
        <v>1553</v>
      </c>
      <c r="E25" s="37">
        <v>11.35</v>
      </c>
      <c r="F25" s="6">
        <v>554</v>
      </c>
      <c r="G25" s="37">
        <v>18.56</v>
      </c>
      <c r="H25" s="37">
        <v>90.2</v>
      </c>
      <c r="I25" s="6">
        <v>521</v>
      </c>
      <c r="J25" s="37">
        <v>30.79</v>
      </c>
      <c r="K25" s="6">
        <v>1544</v>
      </c>
      <c r="L25" s="37">
        <v>62.75</v>
      </c>
      <c r="M25" s="6">
        <v>0</v>
      </c>
      <c r="N25" s="34">
        <v>0.934</v>
      </c>
      <c r="O25" s="34">
        <f>5.975*3.6</f>
        <v>21.509999999999998</v>
      </c>
      <c r="P25" s="6">
        <v>1137</v>
      </c>
      <c r="Q25" s="36">
        <v>18.85</v>
      </c>
      <c r="R25" s="37">
        <v>4.934</v>
      </c>
      <c r="S25" s="6">
        <v>542.3</v>
      </c>
      <c r="T25" s="6">
        <v>1157</v>
      </c>
      <c r="U25" s="37">
        <v>30.74</v>
      </c>
      <c r="V25" s="6">
        <v>1338</v>
      </c>
      <c r="W25" s="37">
        <v>-37.06</v>
      </c>
      <c r="X25" s="6">
        <v>529</v>
      </c>
      <c r="Y25" s="35">
        <v>1.498</v>
      </c>
    </row>
    <row r="26" spans="1:26" ht="12.75">
      <c r="A26" s="6">
        <v>2023</v>
      </c>
      <c r="B26" s="53">
        <v>45100</v>
      </c>
      <c r="C26" s="37">
        <v>26.04</v>
      </c>
      <c r="D26" s="6">
        <v>1343</v>
      </c>
      <c r="E26" s="37">
        <v>11.37</v>
      </c>
      <c r="F26" s="6">
        <v>626</v>
      </c>
      <c r="G26" s="37">
        <v>18.51</v>
      </c>
      <c r="H26" s="37">
        <v>92.1</v>
      </c>
      <c r="I26" s="6">
        <v>631</v>
      </c>
      <c r="J26" s="37">
        <v>31.46</v>
      </c>
      <c r="K26" s="6">
        <v>1438</v>
      </c>
      <c r="L26" s="37">
        <v>64.27</v>
      </c>
      <c r="M26" s="6">
        <v>0</v>
      </c>
      <c r="N26" s="34">
        <v>0.834</v>
      </c>
      <c r="O26" s="34">
        <f>5.15*3.6</f>
        <v>18.540000000000003</v>
      </c>
      <c r="P26" s="6">
        <v>1225</v>
      </c>
      <c r="Q26" s="36">
        <v>7.73</v>
      </c>
      <c r="R26" s="37">
        <v>4.399</v>
      </c>
      <c r="S26" s="36">
        <v>620.4</v>
      </c>
      <c r="T26" s="6">
        <v>1233</v>
      </c>
      <c r="U26" s="37">
        <v>27.73</v>
      </c>
      <c r="V26" s="6">
        <v>1353</v>
      </c>
      <c r="W26" s="37">
        <v>-35.5</v>
      </c>
      <c r="X26" s="6">
        <v>644</v>
      </c>
      <c r="Y26" s="35">
        <v>1.279</v>
      </c>
      <c r="Z26" s="32"/>
    </row>
    <row r="27" spans="1:25" ht="12.75">
      <c r="A27" s="6">
        <v>2023</v>
      </c>
      <c r="B27" s="53">
        <v>45101</v>
      </c>
      <c r="C27" s="37">
        <v>25.7</v>
      </c>
      <c r="D27" s="6">
        <v>1420</v>
      </c>
      <c r="E27" s="37">
        <v>12.34</v>
      </c>
      <c r="F27" s="6">
        <v>716</v>
      </c>
      <c r="G27" s="37">
        <v>18.44</v>
      </c>
      <c r="H27" s="37">
        <v>90</v>
      </c>
      <c r="I27" s="6">
        <v>721</v>
      </c>
      <c r="J27" s="37">
        <v>39.22</v>
      </c>
      <c r="K27" s="6">
        <v>1423</v>
      </c>
      <c r="L27" s="37">
        <v>67.28</v>
      </c>
      <c r="M27" s="6">
        <v>0</v>
      </c>
      <c r="N27" s="34">
        <v>0.821</v>
      </c>
      <c r="O27" s="34">
        <f>4.55*3.6</f>
        <v>16.38</v>
      </c>
      <c r="P27" s="6">
        <v>1044</v>
      </c>
      <c r="Q27" s="36">
        <v>28</v>
      </c>
      <c r="R27" s="37">
        <v>4.038</v>
      </c>
      <c r="S27" s="36">
        <v>607.2</v>
      </c>
      <c r="T27" s="6">
        <v>1311</v>
      </c>
      <c r="U27" s="37">
        <v>26.2</v>
      </c>
      <c r="V27" s="6">
        <v>1231</v>
      </c>
      <c r="W27" s="37">
        <v>-33.31</v>
      </c>
      <c r="X27" s="6">
        <v>455</v>
      </c>
      <c r="Y27" s="35">
        <v>1.105</v>
      </c>
    </row>
    <row r="28" spans="1:25" ht="12.75">
      <c r="A28" s="6">
        <v>2023</v>
      </c>
      <c r="B28" s="53">
        <v>45102</v>
      </c>
      <c r="C28" s="37">
        <v>26.43</v>
      </c>
      <c r="D28" s="6">
        <v>1356</v>
      </c>
      <c r="E28" s="37">
        <v>12.21</v>
      </c>
      <c r="F28" s="6">
        <v>718</v>
      </c>
      <c r="G28" s="37">
        <v>18.85</v>
      </c>
      <c r="H28" s="37">
        <v>91.3</v>
      </c>
      <c r="I28" s="6">
        <v>719</v>
      </c>
      <c r="J28" s="37">
        <v>35.57</v>
      </c>
      <c r="K28" s="6">
        <v>1442</v>
      </c>
      <c r="L28" s="37">
        <v>65.56</v>
      </c>
      <c r="M28" s="6">
        <v>0</v>
      </c>
      <c r="N28" s="34">
        <v>0.776</v>
      </c>
      <c r="O28" s="34">
        <f>4.625*3.6</f>
        <v>16.650000000000002</v>
      </c>
      <c r="P28" s="6">
        <v>1204</v>
      </c>
      <c r="Q28" s="36">
        <v>2.828</v>
      </c>
      <c r="R28" s="37">
        <v>4.877</v>
      </c>
      <c r="S28" s="36">
        <v>567.1</v>
      </c>
      <c r="T28" s="6">
        <v>1212</v>
      </c>
      <c r="U28" s="37">
        <v>32.49</v>
      </c>
      <c r="V28" s="6">
        <v>1308</v>
      </c>
      <c r="W28" s="37">
        <v>-34.82</v>
      </c>
      <c r="X28" s="6">
        <v>711</v>
      </c>
      <c r="Y28" s="39">
        <v>1.298</v>
      </c>
    </row>
    <row r="29" spans="1:25" ht="12.75">
      <c r="A29" s="6">
        <v>2023</v>
      </c>
      <c r="B29" s="53">
        <v>45103</v>
      </c>
      <c r="C29" s="37">
        <v>25.97</v>
      </c>
      <c r="D29" s="6">
        <v>1412</v>
      </c>
      <c r="E29" s="37">
        <v>11.42</v>
      </c>
      <c r="F29" s="6">
        <v>514</v>
      </c>
      <c r="G29" s="37">
        <v>18.62</v>
      </c>
      <c r="H29" s="37">
        <v>91.6</v>
      </c>
      <c r="I29" s="6">
        <v>520</v>
      </c>
      <c r="J29" s="37">
        <v>35.84</v>
      </c>
      <c r="K29" s="6">
        <v>1410</v>
      </c>
      <c r="L29" s="37">
        <v>65.83</v>
      </c>
      <c r="M29" s="6">
        <v>0</v>
      </c>
      <c r="N29" s="34">
        <v>0.996</v>
      </c>
      <c r="O29" s="34">
        <f>5.6*3.6</f>
        <v>20.16</v>
      </c>
      <c r="P29" s="6">
        <v>1130</v>
      </c>
      <c r="Q29" s="36">
        <v>11.5</v>
      </c>
      <c r="R29" s="37">
        <v>5.013</v>
      </c>
      <c r="S29" s="6">
        <v>545.7</v>
      </c>
      <c r="T29" s="6">
        <v>1257</v>
      </c>
      <c r="U29" s="37">
        <v>31.43</v>
      </c>
      <c r="V29" s="6">
        <v>1326</v>
      </c>
      <c r="W29" s="37">
        <v>-39.16</v>
      </c>
      <c r="X29" s="6">
        <v>702</v>
      </c>
      <c r="Y29" s="35">
        <v>1.48</v>
      </c>
    </row>
    <row r="30" spans="1:25" ht="12.75">
      <c r="A30" s="6">
        <v>2023</v>
      </c>
      <c r="B30" s="53">
        <v>45104</v>
      </c>
      <c r="C30" s="37">
        <v>27.03</v>
      </c>
      <c r="D30" s="6">
        <v>1520</v>
      </c>
      <c r="E30" s="37">
        <v>11.55</v>
      </c>
      <c r="F30" s="6">
        <v>609</v>
      </c>
      <c r="G30" s="37">
        <v>19.2</v>
      </c>
      <c r="H30" s="37">
        <v>92.5</v>
      </c>
      <c r="I30" s="6">
        <v>617</v>
      </c>
      <c r="J30" s="37">
        <v>36.3</v>
      </c>
      <c r="K30" s="6">
        <v>1439</v>
      </c>
      <c r="L30" s="37">
        <v>66.17</v>
      </c>
      <c r="M30" s="6">
        <v>0</v>
      </c>
      <c r="N30" s="34">
        <v>1.039</v>
      </c>
      <c r="O30" s="34">
        <f>6.275*3.6</f>
        <v>22.590000000000003</v>
      </c>
      <c r="P30" s="6">
        <v>1242</v>
      </c>
      <c r="Q30" s="36">
        <v>2.827</v>
      </c>
      <c r="R30" s="37">
        <v>4.98</v>
      </c>
      <c r="S30" s="36">
        <v>547.8</v>
      </c>
      <c r="T30" s="6">
        <v>1307</v>
      </c>
      <c r="U30" s="6">
        <v>35.18</v>
      </c>
      <c r="V30" s="6">
        <v>1347</v>
      </c>
      <c r="W30" s="6">
        <v>-36.87</v>
      </c>
      <c r="X30" s="6">
        <v>645</v>
      </c>
      <c r="Y30" s="35">
        <v>1.521</v>
      </c>
    </row>
    <row r="31" spans="1:25" ht="12.75">
      <c r="A31" s="6">
        <v>2023</v>
      </c>
      <c r="B31" s="53">
        <v>45105</v>
      </c>
      <c r="C31" s="37">
        <v>28.15</v>
      </c>
      <c r="D31" s="6">
        <v>1445</v>
      </c>
      <c r="E31" s="6">
        <v>12.94</v>
      </c>
      <c r="F31" s="6">
        <v>615</v>
      </c>
      <c r="G31" s="37">
        <v>19.78</v>
      </c>
      <c r="H31" s="37">
        <v>91.5</v>
      </c>
      <c r="I31" s="6">
        <v>629</v>
      </c>
      <c r="J31" s="37">
        <v>31.39</v>
      </c>
      <c r="K31" s="6">
        <v>1456</v>
      </c>
      <c r="L31" s="37">
        <v>64.2</v>
      </c>
      <c r="M31" s="6">
        <v>0</v>
      </c>
      <c r="N31" s="34">
        <v>0.592</v>
      </c>
      <c r="O31" s="37">
        <f>4.175*3.6</f>
        <v>15.03</v>
      </c>
      <c r="P31" s="6">
        <v>1320</v>
      </c>
      <c r="Q31" s="36">
        <v>213.3</v>
      </c>
      <c r="R31" s="37">
        <v>4.984</v>
      </c>
      <c r="S31" s="36">
        <v>550.1</v>
      </c>
      <c r="T31" s="6">
        <v>1220</v>
      </c>
      <c r="U31" s="37">
        <v>40.87</v>
      </c>
      <c r="V31" s="6">
        <v>1312</v>
      </c>
      <c r="W31" s="6">
        <v>-35.59</v>
      </c>
      <c r="X31" s="6">
        <v>607</v>
      </c>
      <c r="Y31" s="35">
        <v>1.351</v>
      </c>
    </row>
    <row r="32" spans="1:25" ht="12.75">
      <c r="A32" s="6">
        <v>2023</v>
      </c>
      <c r="B32" s="53">
        <v>45106</v>
      </c>
      <c r="C32" s="37">
        <v>26.63</v>
      </c>
      <c r="D32" s="6">
        <v>1526</v>
      </c>
      <c r="E32" s="37">
        <v>12.74</v>
      </c>
      <c r="F32" s="6">
        <v>652</v>
      </c>
      <c r="G32" s="37">
        <v>19.71</v>
      </c>
      <c r="H32" s="37">
        <v>89.2</v>
      </c>
      <c r="I32" s="6">
        <v>657</v>
      </c>
      <c r="J32" s="37">
        <v>36.17</v>
      </c>
      <c r="K32" s="6">
        <v>1400</v>
      </c>
      <c r="L32" s="37">
        <v>62.68</v>
      </c>
      <c r="M32" s="6">
        <v>0</v>
      </c>
      <c r="N32" s="34">
        <v>0.974</v>
      </c>
      <c r="O32" s="37">
        <f>5.225*3.6</f>
        <v>18.81</v>
      </c>
      <c r="P32" s="6">
        <v>1108</v>
      </c>
      <c r="Q32" s="36">
        <v>61.37</v>
      </c>
      <c r="R32" s="37">
        <v>4.868</v>
      </c>
      <c r="S32" s="36">
        <v>543.7</v>
      </c>
      <c r="T32" s="6">
        <v>1155</v>
      </c>
      <c r="U32" s="37">
        <v>31.94</v>
      </c>
      <c r="V32" s="6">
        <v>1321</v>
      </c>
      <c r="W32" s="37">
        <v>-35.61</v>
      </c>
      <c r="X32" s="6">
        <v>621</v>
      </c>
      <c r="Y32" s="35">
        <v>1.438</v>
      </c>
    </row>
    <row r="33" spans="1:25" ht="12.75">
      <c r="A33" s="6">
        <v>2023</v>
      </c>
      <c r="B33" s="53">
        <v>45107</v>
      </c>
      <c r="C33" s="37">
        <v>27.82</v>
      </c>
      <c r="D33" s="6">
        <v>1529</v>
      </c>
      <c r="E33" s="37">
        <v>12.76</v>
      </c>
      <c r="F33" s="6">
        <v>642</v>
      </c>
      <c r="G33" s="6">
        <v>19.39</v>
      </c>
      <c r="H33" s="37">
        <v>92.2</v>
      </c>
      <c r="I33" s="6">
        <v>648</v>
      </c>
      <c r="J33" s="37">
        <v>30.86</v>
      </c>
      <c r="K33" s="6">
        <v>1553</v>
      </c>
      <c r="L33" s="37">
        <v>65.9</v>
      </c>
      <c r="M33" s="6">
        <v>0</v>
      </c>
      <c r="N33" s="34">
        <v>1.218</v>
      </c>
      <c r="O33" s="37">
        <f>4.625*3.6</f>
        <v>16.650000000000002</v>
      </c>
      <c r="P33" s="6">
        <v>414</v>
      </c>
      <c r="Q33" s="36">
        <v>106</v>
      </c>
      <c r="R33" s="37">
        <v>4.936</v>
      </c>
      <c r="S33" s="36">
        <v>556.7</v>
      </c>
      <c r="T33" s="6">
        <v>1155</v>
      </c>
      <c r="U33" s="37">
        <v>35.91</v>
      </c>
      <c r="V33" s="6">
        <v>1338</v>
      </c>
      <c r="W33" s="6">
        <v>-34.05</v>
      </c>
      <c r="X33" s="6">
        <v>2205</v>
      </c>
      <c r="Y33" s="64">
        <v>1.306</v>
      </c>
    </row>
    <row r="34" spans="3:25" ht="12.75">
      <c r="C34" s="40">
        <f>AVERAGE(C4:C33)</f>
        <v>25.45466666666667</v>
      </c>
      <c r="D34" s="33"/>
      <c r="E34" s="40">
        <f>AVERAGE(E4:E33)</f>
        <v>11.962666666666665</v>
      </c>
      <c r="F34" s="33"/>
      <c r="G34" s="40">
        <f>AVERAGE(G4:G33)</f>
        <v>18.216</v>
      </c>
      <c r="H34" s="40">
        <f>AVERAGE(H4:H33)</f>
        <v>92.816</v>
      </c>
      <c r="I34" s="33"/>
      <c r="J34" s="40">
        <f>AVERAGE(J4:J33)</f>
        <v>40.34766666666666</v>
      </c>
      <c r="K34" s="33"/>
      <c r="L34" s="40">
        <f>AVERAGE(L4:L33)</f>
        <v>69.86966666666666</v>
      </c>
      <c r="M34" s="41">
        <f>SUM(M4:M33)</f>
        <v>33.1</v>
      </c>
      <c r="Y34" s="41">
        <f>SUM(Y4:Y33)</f>
        <v>36.69299999999999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68" r:id="rId1"/>
  <headerFooter alignWithMargins="0">
    <oddHeader>&amp;CDADOS METEOROLÓGICOS - ESTAÇÃO EXPERIMENTAL DE CITRICULTURA DE BEBEDOURO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75" zoomScaleSheetLayoutView="75" zoomScalePageLayoutView="0" workbookViewId="0" topLeftCell="B2">
      <selection activeCell="M30" sqref="M30"/>
    </sheetView>
  </sheetViews>
  <sheetFormatPr defaultColWidth="9.140625" defaultRowHeight="12.75"/>
  <cols>
    <col min="1" max="1" width="7.281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28125" style="0" customWidth="1"/>
    <col min="13" max="13" width="7.28125" style="0" customWidth="1"/>
    <col min="16" max="16" width="7.7109375" style="0" customWidth="1"/>
    <col min="17" max="17" width="6.7109375" style="0" customWidth="1"/>
    <col min="18" max="18" width="8.00390625" style="0" customWidth="1"/>
    <col min="19" max="19" width="8.7109375" style="0" customWidth="1"/>
    <col min="20" max="20" width="8.00390625" style="0" customWidth="1"/>
    <col min="21" max="21" width="8.281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70">
        <v>39448</v>
      </c>
      <c r="B1" s="70"/>
      <c r="C1" s="8">
        <v>1</v>
      </c>
      <c r="E1">
        <v>3.6</v>
      </c>
    </row>
    <row r="2" spans="1:25" ht="30">
      <c r="A2" s="71" t="s">
        <v>12</v>
      </c>
      <c r="B2" s="71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72"/>
      <c r="B3" s="72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2023</v>
      </c>
      <c r="B4" s="53">
        <v>45108</v>
      </c>
      <c r="C4" s="6">
        <v>27.42</v>
      </c>
      <c r="D4" s="6">
        <v>1514</v>
      </c>
      <c r="E4" s="37">
        <v>12.47</v>
      </c>
      <c r="F4" s="6">
        <v>526</v>
      </c>
      <c r="G4" s="37">
        <v>19.09</v>
      </c>
      <c r="H4" s="37">
        <v>88.1</v>
      </c>
      <c r="I4" s="6">
        <v>528</v>
      </c>
      <c r="J4" s="37">
        <v>33.91</v>
      </c>
      <c r="K4" s="6">
        <v>1410</v>
      </c>
      <c r="L4" s="37">
        <v>64.61</v>
      </c>
      <c r="M4" s="6">
        <v>0</v>
      </c>
      <c r="N4" s="34">
        <v>0.975</v>
      </c>
      <c r="O4" s="37">
        <f>3.95*3.6</f>
        <v>14.22</v>
      </c>
      <c r="P4" s="6">
        <v>1348</v>
      </c>
      <c r="Q4" s="36">
        <v>241.3</v>
      </c>
      <c r="R4" s="37">
        <v>4.896</v>
      </c>
      <c r="S4" s="36">
        <v>523.1</v>
      </c>
      <c r="T4" s="6">
        <v>1236</v>
      </c>
      <c r="U4" s="6">
        <v>35.23</v>
      </c>
      <c r="V4" s="6">
        <v>1328</v>
      </c>
      <c r="W4" s="37">
        <v>-36.2</v>
      </c>
      <c r="X4" s="6">
        <v>415</v>
      </c>
      <c r="Y4" s="35">
        <v>1.307</v>
      </c>
    </row>
    <row r="5" spans="1:25" ht="12.75">
      <c r="A5" s="6">
        <v>2023</v>
      </c>
      <c r="B5" s="53">
        <v>45109</v>
      </c>
      <c r="C5" s="37">
        <v>26.43</v>
      </c>
      <c r="D5" s="6">
        <v>1501</v>
      </c>
      <c r="E5" s="6">
        <v>11.88</v>
      </c>
      <c r="F5" s="6">
        <v>554</v>
      </c>
      <c r="G5" s="37">
        <v>18.6</v>
      </c>
      <c r="H5" s="37">
        <v>94.1</v>
      </c>
      <c r="I5" s="6">
        <v>643</v>
      </c>
      <c r="J5" s="37">
        <v>36.17</v>
      </c>
      <c r="K5" s="6">
        <v>1513</v>
      </c>
      <c r="L5" s="37">
        <v>69.34</v>
      </c>
      <c r="M5" s="6">
        <v>0</v>
      </c>
      <c r="N5" s="34">
        <v>0.886</v>
      </c>
      <c r="O5" s="37">
        <f>5.075*3.6</f>
        <v>18.27</v>
      </c>
      <c r="P5" s="6">
        <v>1302</v>
      </c>
      <c r="Q5" s="36">
        <v>157.6</v>
      </c>
      <c r="R5" s="37">
        <v>4.862</v>
      </c>
      <c r="S5" s="6">
        <v>487.4</v>
      </c>
      <c r="T5" s="6">
        <v>1226</v>
      </c>
      <c r="U5" s="6">
        <v>31.59</v>
      </c>
      <c r="V5" s="6">
        <v>1402</v>
      </c>
      <c r="W5" s="37">
        <v>-36.48</v>
      </c>
      <c r="X5" s="6">
        <v>0</v>
      </c>
      <c r="Y5" s="35">
        <v>1.197</v>
      </c>
    </row>
    <row r="6" spans="1:25" ht="12.75">
      <c r="A6" s="6">
        <v>2023</v>
      </c>
      <c r="B6" s="53">
        <v>45110</v>
      </c>
      <c r="C6" s="37">
        <v>25.37</v>
      </c>
      <c r="D6" s="6">
        <v>1540</v>
      </c>
      <c r="E6" s="37">
        <v>11.74</v>
      </c>
      <c r="F6" s="6">
        <v>706</v>
      </c>
      <c r="G6" s="37">
        <v>17.49</v>
      </c>
      <c r="H6" s="37">
        <v>90.1</v>
      </c>
      <c r="I6" s="6">
        <v>706</v>
      </c>
      <c r="J6" s="37">
        <v>28.54</v>
      </c>
      <c r="K6" s="6">
        <v>1513</v>
      </c>
      <c r="L6" s="37">
        <v>63.76</v>
      </c>
      <c r="M6" s="6">
        <v>0</v>
      </c>
      <c r="N6" s="34">
        <v>2.12</v>
      </c>
      <c r="O6" s="37">
        <f>6.725*3.6</f>
        <v>24.21</v>
      </c>
      <c r="P6" s="6">
        <v>1241</v>
      </c>
      <c r="Q6" s="36">
        <v>126.9</v>
      </c>
      <c r="R6" s="37">
        <v>5.044</v>
      </c>
      <c r="S6" s="36">
        <v>477.1</v>
      </c>
      <c r="T6" s="6">
        <v>1225</v>
      </c>
      <c r="U6" s="37">
        <v>24.82</v>
      </c>
      <c r="V6" s="6">
        <v>1400</v>
      </c>
      <c r="W6" s="37">
        <v>-37.55</v>
      </c>
      <c r="X6" s="6">
        <v>142</v>
      </c>
      <c r="Y6" s="35">
        <v>1.681</v>
      </c>
    </row>
    <row r="7" spans="1:25" ht="12.75">
      <c r="A7" s="6">
        <v>2023</v>
      </c>
      <c r="B7" s="53">
        <v>45111</v>
      </c>
      <c r="C7" s="37">
        <v>25.97</v>
      </c>
      <c r="D7" s="6">
        <v>1455</v>
      </c>
      <c r="E7" s="37">
        <v>9.83</v>
      </c>
      <c r="F7" s="6">
        <v>508</v>
      </c>
      <c r="G7" s="37">
        <v>17.17</v>
      </c>
      <c r="H7" s="37">
        <v>93</v>
      </c>
      <c r="I7" s="6">
        <v>513</v>
      </c>
      <c r="J7" s="37">
        <v>32.52</v>
      </c>
      <c r="K7" s="6">
        <v>1540</v>
      </c>
      <c r="L7" s="37">
        <v>65.36</v>
      </c>
      <c r="M7" s="6">
        <v>0</v>
      </c>
      <c r="N7" s="34">
        <v>1.556</v>
      </c>
      <c r="O7" s="37">
        <f>5.075*3.6</f>
        <v>18.27</v>
      </c>
      <c r="P7" s="6">
        <v>2206</v>
      </c>
      <c r="Q7" s="36">
        <v>81</v>
      </c>
      <c r="R7" s="37">
        <v>4.884</v>
      </c>
      <c r="S7" s="36">
        <v>538.6</v>
      </c>
      <c r="T7" s="6">
        <v>1218</v>
      </c>
      <c r="U7" s="37">
        <v>31.37</v>
      </c>
      <c r="V7" s="6">
        <v>1318</v>
      </c>
      <c r="W7" s="37">
        <v>-35.28</v>
      </c>
      <c r="X7" s="6">
        <v>528</v>
      </c>
      <c r="Y7" s="35">
        <v>1.364</v>
      </c>
    </row>
    <row r="8" spans="1:25" ht="12.75">
      <c r="A8" s="6">
        <v>2023</v>
      </c>
      <c r="B8" s="53">
        <v>45112</v>
      </c>
      <c r="C8" s="37">
        <v>26.37</v>
      </c>
      <c r="D8" s="6">
        <v>1516</v>
      </c>
      <c r="E8" s="37">
        <v>10.22</v>
      </c>
      <c r="F8" s="6">
        <v>624</v>
      </c>
      <c r="G8" s="37">
        <v>17.97</v>
      </c>
      <c r="H8" s="37">
        <v>88.4</v>
      </c>
      <c r="I8" s="6">
        <v>625</v>
      </c>
      <c r="J8" s="37">
        <v>28.21</v>
      </c>
      <c r="K8" s="6">
        <v>1517</v>
      </c>
      <c r="L8" s="37">
        <v>59.56</v>
      </c>
      <c r="M8" s="6">
        <v>0</v>
      </c>
      <c r="N8" s="34">
        <v>0.943</v>
      </c>
      <c r="O8" s="37">
        <f>5*3.6</f>
        <v>18</v>
      </c>
      <c r="P8" s="6">
        <v>1342</v>
      </c>
      <c r="Q8" s="36">
        <v>336.9</v>
      </c>
      <c r="R8" s="37">
        <v>4.353</v>
      </c>
      <c r="S8" s="6">
        <v>558.9</v>
      </c>
      <c r="T8" s="6">
        <v>1232</v>
      </c>
      <c r="U8" s="37">
        <v>33.01</v>
      </c>
      <c r="V8" s="6">
        <v>1313</v>
      </c>
      <c r="W8" s="37">
        <v>-37.84</v>
      </c>
      <c r="X8" s="6">
        <v>648</v>
      </c>
      <c r="Y8" s="35">
        <v>1.351</v>
      </c>
    </row>
    <row r="9" spans="1:25" ht="12.75">
      <c r="A9" s="6">
        <v>2023</v>
      </c>
      <c r="B9" s="53">
        <v>45113</v>
      </c>
      <c r="C9" s="37">
        <v>24.84</v>
      </c>
      <c r="D9" s="6">
        <v>1454</v>
      </c>
      <c r="E9" s="37">
        <v>10.43</v>
      </c>
      <c r="F9" s="6">
        <v>631</v>
      </c>
      <c r="G9" s="37">
        <v>17.39</v>
      </c>
      <c r="H9" s="37">
        <v>84</v>
      </c>
      <c r="I9" s="6">
        <v>640</v>
      </c>
      <c r="J9" s="37">
        <v>29.4</v>
      </c>
      <c r="K9" s="6">
        <v>1458</v>
      </c>
      <c r="L9" s="37">
        <v>56.57</v>
      </c>
      <c r="M9" s="6">
        <v>0</v>
      </c>
      <c r="N9" s="34">
        <v>1.139</v>
      </c>
      <c r="O9" s="37">
        <f>6.8*3.6</f>
        <v>24.48</v>
      </c>
      <c r="P9" s="6">
        <v>1104</v>
      </c>
      <c r="Q9" s="36">
        <v>0.094</v>
      </c>
      <c r="R9" s="37">
        <v>4.475</v>
      </c>
      <c r="S9" s="36">
        <v>553.5</v>
      </c>
      <c r="T9" s="6">
        <v>1249</v>
      </c>
      <c r="U9" s="6">
        <v>27.37</v>
      </c>
      <c r="V9" s="6">
        <v>1324</v>
      </c>
      <c r="W9" s="37">
        <v>-38.18</v>
      </c>
      <c r="X9" s="6">
        <v>547</v>
      </c>
      <c r="Y9" s="39">
        <v>1.61</v>
      </c>
    </row>
    <row r="10" spans="1:25" ht="12.75">
      <c r="A10" s="6">
        <v>2023</v>
      </c>
      <c r="B10" s="53">
        <v>45114</v>
      </c>
      <c r="C10" s="37">
        <v>27.18</v>
      </c>
      <c r="D10" s="6">
        <v>1514</v>
      </c>
      <c r="E10" s="37">
        <v>12.22</v>
      </c>
      <c r="F10" s="6">
        <v>549</v>
      </c>
      <c r="G10" s="37">
        <v>19.39</v>
      </c>
      <c r="H10" s="37">
        <v>79.87</v>
      </c>
      <c r="I10" s="6">
        <v>556</v>
      </c>
      <c r="J10" s="37">
        <v>32.17</v>
      </c>
      <c r="K10" s="6">
        <v>1524</v>
      </c>
      <c r="L10" s="37">
        <v>57.02</v>
      </c>
      <c r="M10" s="6">
        <v>0</v>
      </c>
      <c r="N10" s="34">
        <v>2.01</v>
      </c>
      <c r="O10" s="37">
        <v>28.485</v>
      </c>
      <c r="P10" s="6">
        <v>1309</v>
      </c>
      <c r="Q10" s="43">
        <v>72.6</v>
      </c>
      <c r="R10" s="37">
        <v>4.56</v>
      </c>
      <c r="S10" s="36">
        <v>698.4</v>
      </c>
      <c r="T10" s="6">
        <v>1209</v>
      </c>
      <c r="U10" s="6">
        <v>35.72</v>
      </c>
      <c r="V10" s="6">
        <v>1331</v>
      </c>
      <c r="W10" s="37">
        <v>-36.48</v>
      </c>
      <c r="X10" s="6">
        <v>423</v>
      </c>
      <c r="Y10" s="35">
        <v>1.856</v>
      </c>
    </row>
    <row r="11" spans="1:25" ht="12.75">
      <c r="A11" s="6">
        <v>2023</v>
      </c>
      <c r="B11" s="53">
        <v>45115</v>
      </c>
      <c r="C11" s="37">
        <v>28.5</v>
      </c>
      <c r="D11" s="6">
        <v>1524</v>
      </c>
      <c r="E11" s="37">
        <v>13.79</v>
      </c>
      <c r="F11" s="6">
        <v>649</v>
      </c>
      <c r="G11" s="37">
        <v>21.06</v>
      </c>
      <c r="H11" s="37">
        <v>80.47</v>
      </c>
      <c r="I11" s="6">
        <v>649</v>
      </c>
      <c r="J11" s="37">
        <v>32.02</v>
      </c>
      <c r="K11" s="6">
        <v>1532</v>
      </c>
      <c r="L11" s="37">
        <v>55.28</v>
      </c>
      <c r="M11" s="6">
        <v>0</v>
      </c>
      <c r="N11" s="34">
        <v>2.55</v>
      </c>
      <c r="O11" s="37">
        <v>29.45</v>
      </c>
      <c r="P11" s="6">
        <v>1144</v>
      </c>
      <c r="Q11" s="36">
        <v>54.1</v>
      </c>
      <c r="R11" s="37">
        <v>5.11</v>
      </c>
      <c r="S11" s="36">
        <v>701.8</v>
      </c>
      <c r="T11" s="6">
        <v>1159</v>
      </c>
      <c r="U11" s="37">
        <v>40.64</v>
      </c>
      <c r="V11" s="6">
        <v>1319</v>
      </c>
      <c r="W11" s="6">
        <v>-35.79</v>
      </c>
      <c r="X11" s="6">
        <v>612</v>
      </c>
      <c r="Y11" s="35">
        <v>1.551</v>
      </c>
    </row>
    <row r="12" spans="1:25" ht="12.75">
      <c r="A12" s="6">
        <v>2023</v>
      </c>
      <c r="B12" s="53">
        <v>45116</v>
      </c>
      <c r="C12" s="37">
        <v>29.5</v>
      </c>
      <c r="D12" s="6">
        <v>1509</v>
      </c>
      <c r="E12" s="37">
        <v>16.5</v>
      </c>
      <c r="F12" s="6">
        <v>554</v>
      </c>
      <c r="G12" s="37">
        <v>22.06</v>
      </c>
      <c r="H12" s="37">
        <v>83.53</v>
      </c>
      <c r="I12" s="6">
        <v>602</v>
      </c>
      <c r="J12" s="37">
        <v>39.44</v>
      </c>
      <c r="K12" s="6">
        <v>1518</v>
      </c>
      <c r="L12" s="37">
        <v>61.05</v>
      </c>
      <c r="M12" s="38">
        <v>0</v>
      </c>
      <c r="N12" s="34">
        <v>1.7</v>
      </c>
      <c r="O12" s="37">
        <v>18.02</v>
      </c>
      <c r="P12" s="6">
        <v>1843</v>
      </c>
      <c r="Q12" s="36">
        <v>122.4</v>
      </c>
      <c r="R12" s="37">
        <v>4.92</v>
      </c>
      <c r="S12" s="36">
        <v>737</v>
      </c>
      <c r="T12" s="6">
        <v>1144</v>
      </c>
      <c r="U12" s="6">
        <v>30.53</v>
      </c>
      <c r="V12" s="6">
        <v>1245</v>
      </c>
      <c r="W12" s="6">
        <v>-35.86</v>
      </c>
      <c r="X12" s="6">
        <v>336</v>
      </c>
      <c r="Y12" s="35">
        <v>1.614</v>
      </c>
    </row>
    <row r="13" spans="1:25" ht="12.75">
      <c r="A13" s="6">
        <v>2023</v>
      </c>
      <c r="B13" s="53">
        <v>45117</v>
      </c>
      <c r="C13" s="37">
        <v>30.52</v>
      </c>
      <c r="D13" s="6">
        <v>1524</v>
      </c>
      <c r="E13" s="37">
        <v>16.72</v>
      </c>
      <c r="F13" s="6">
        <v>634</v>
      </c>
      <c r="G13" s="37">
        <v>23.5</v>
      </c>
      <c r="H13" s="37">
        <v>90.05</v>
      </c>
      <c r="I13" s="6">
        <v>628</v>
      </c>
      <c r="J13" s="37">
        <v>31.49</v>
      </c>
      <c r="K13" s="6">
        <v>1543</v>
      </c>
      <c r="L13" s="37">
        <v>60.38</v>
      </c>
      <c r="M13" s="6">
        <v>0</v>
      </c>
      <c r="N13" s="37">
        <v>1.74</v>
      </c>
      <c r="O13" s="37">
        <v>20.92</v>
      </c>
      <c r="P13" s="6">
        <v>1114</v>
      </c>
      <c r="Q13" s="36">
        <v>104.6</v>
      </c>
      <c r="R13" s="37">
        <v>5.21</v>
      </c>
      <c r="S13" s="36">
        <v>693.7</v>
      </c>
      <c r="T13" s="6">
        <v>1204</v>
      </c>
      <c r="U13" s="37">
        <v>29.69</v>
      </c>
      <c r="V13" s="6">
        <v>1254</v>
      </c>
      <c r="W13" s="37">
        <v>-42.13</v>
      </c>
      <c r="X13" s="6">
        <v>516</v>
      </c>
      <c r="Y13" s="35">
        <v>1.494</v>
      </c>
    </row>
    <row r="14" spans="1:26" ht="12.75">
      <c r="A14" s="6">
        <v>2023</v>
      </c>
      <c r="B14" s="53">
        <v>45118</v>
      </c>
      <c r="C14" s="37">
        <v>31.22</v>
      </c>
      <c r="D14" s="6">
        <v>1459</v>
      </c>
      <c r="E14" s="6">
        <v>16.89</v>
      </c>
      <c r="F14" s="6">
        <v>619</v>
      </c>
      <c r="G14" s="6">
        <v>24.33</v>
      </c>
      <c r="H14" s="37">
        <v>77.34</v>
      </c>
      <c r="I14" s="6">
        <v>623</v>
      </c>
      <c r="J14" s="37">
        <v>39.48</v>
      </c>
      <c r="K14" s="6">
        <v>1508</v>
      </c>
      <c r="L14" s="37">
        <v>50.08</v>
      </c>
      <c r="M14" s="6">
        <v>0</v>
      </c>
      <c r="N14" s="34">
        <v>1.83</v>
      </c>
      <c r="O14" s="37">
        <v>29.13</v>
      </c>
      <c r="P14" s="6">
        <v>1254</v>
      </c>
      <c r="Q14" s="36">
        <v>53.7</v>
      </c>
      <c r="R14" s="37">
        <v>5.18</v>
      </c>
      <c r="S14" s="36">
        <v>704.9</v>
      </c>
      <c r="T14" s="6">
        <v>1209</v>
      </c>
      <c r="U14" s="37">
        <v>31.92</v>
      </c>
      <c r="V14" s="6">
        <v>1329</v>
      </c>
      <c r="W14" s="6">
        <v>-43.14</v>
      </c>
      <c r="X14" s="6">
        <v>303</v>
      </c>
      <c r="Y14" s="35">
        <v>1.651</v>
      </c>
      <c r="Z14" s="13"/>
    </row>
    <row r="15" spans="1:25" ht="12.75">
      <c r="A15" s="6">
        <v>2023</v>
      </c>
      <c r="B15" s="53">
        <v>45119</v>
      </c>
      <c r="C15" s="6">
        <v>30.89</v>
      </c>
      <c r="D15" s="6">
        <v>1354</v>
      </c>
      <c r="E15" s="37">
        <v>17.22</v>
      </c>
      <c r="F15" s="6">
        <v>544</v>
      </c>
      <c r="G15" s="37">
        <v>24.17</v>
      </c>
      <c r="H15" s="37">
        <v>74.42</v>
      </c>
      <c r="I15" s="6">
        <v>552</v>
      </c>
      <c r="J15" s="37">
        <v>30.13</v>
      </c>
      <c r="K15" s="6">
        <v>1412</v>
      </c>
      <c r="L15" s="37">
        <v>49.25</v>
      </c>
      <c r="M15" s="6">
        <v>0</v>
      </c>
      <c r="N15" s="34">
        <v>2.73</v>
      </c>
      <c r="O15" s="37">
        <v>35.24</v>
      </c>
      <c r="P15" s="6">
        <v>1404</v>
      </c>
      <c r="Q15" s="36">
        <v>49.2</v>
      </c>
      <c r="R15" s="37">
        <v>4.96</v>
      </c>
      <c r="S15" s="36">
        <v>844.6</v>
      </c>
      <c r="T15" s="6">
        <v>1244</v>
      </c>
      <c r="U15" s="46">
        <v>23.39</v>
      </c>
      <c r="V15" s="46">
        <v>1356</v>
      </c>
      <c r="W15" s="54">
        <v>-54.4</v>
      </c>
      <c r="X15" s="46">
        <v>203</v>
      </c>
      <c r="Y15" s="47">
        <v>1.74</v>
      </c>
    </row>
    <row r="16" spans="1:25" ht="12.75">
      <c r="A16" s="6">
        <v>2023</v>
      </c>
      <c r="B16" s="53">
        <v>45120</v>
      </c>
      <c r="C16" s="37">
        <v>27.11</v>
      </c>
      <c r="D16" s="6">
        <v>1509</v>
      </c>
      <c r="E16" s="37">
        <v>12.11</v>
      </c>
      <c r="F16" s="6">
        <v>2309</v>
      </c>
      <c r="G16" s="37">
        <v>20.89</v>
      </c>
      <c r="H16" s="37">
        <v>98.16</v>
      </c>
      <c r="I16" s="6">
        <v>514</v>
      </c>
      <c r="J16" s="37">
        <v>38.32</v>
      </c>
      <c r="K16" s="6">
        <v>1528</v>
      </c>
      <c r="L16" s="37">
        <v>62.16</v>
      </c>
      <c r="M16" s="6">
        <v>2.8</v>
      </c>
      <c r="N16" s="34">
        <v>2.86</v>
      </c>
      <c r="O16" s="37">
        <v>35.57</v>
      </c>
      <c r="P16" s="6">
        <v>1454</v>
      </c>
      <c r="Q16" s="36">
        <v>306.5</v>
      </c>
      <c r="R16" s="37">
        <v>4.15</v>
      </c>
      <c r="S16" s="6">
        <v>730.5</v>
      </c>
      <c r="T16" s="6">
        <v>1249</v>
      </c>
      <c r="U16" s="37">
        <v>22.46</v>
      </c>
      <c r="V16" s="6">
        <v>1301</v>
      </c>
      <c r="W16" s="37">
        <v>-45.88</v>
      </c>
      <c r="X16" s="6">
        <v>2357</v>
      </c>
      <c r="Y16" s="35">
        <v>1.01</v>
      </c>
    </row>
    <row r="17" spans="1:25" ht="12.75">
      <c r="A17" s="6">
        <v>2023</v>
      </c>
      <c r="B17" s="53">
        <v>45121</v>
      </c>
      <c r="C17" s="6">
        <v>20.39</v>
      </c>
      <c r="D17" s="6">
        <v>1554</v>
      </c>
      <c r="E17" s="37">
        <v>10.22</v>
      </c>
      <c r="F17" s="6">
        <v>659</v>
      </c>
      <c r="G17" s="6">
        <v>14.79</v>
      </c>
      <c r="H17" s="37">
        <v>99.24</v>
      </c>
      <c r="I17" s="6">
        <v>651</v>
      </c>
      <c r="J17" s="37">
        <v>38.56</v>
      </c>
      <c r="K17" s="6">
        <v>1602</v>
      </c>
      <c r="L17" s="37">
        <v>71.02</v>
      </c>
      <c r="M17" s="6">
        <v>0</v>
      </c>
      <c r="N17" s="34">
        <v>2.32</v>
      </c>
      <c r="O17" s="37">
        <v>19.79</v>
      </c>
      <c r="P17" s="6">
        <v>1059</v>
      </c>
      <c r="Q17" s="36">
        <v>231.9</v>
      </c>
      <c r="R17" s="37">
        <v>3.98</v>
      </c>
      <c r="S17" s="36">
        <v>718.4</v>
      </c>
      <c r="T17" s="6">
        <v>1258</v>
      </c>
      <c r="U17" s="6">
        <v>15.93</v>
      </c>
      <c r="V17" s="6">
        <v>1311</v>
      </c>
      <c r="W17" s="6">
        <v>-37.46</v>
      </c>
      <c r="X17" s="6">
        <v>2309</v>
      </c>
      <c r="Y17" s="35">
        <v>0.788</v>
      </c>
    </row>
    <row r="18" spans="1:25" ht="12.75">
      <c r="A18" s="6">
        <v>2023</v>
      </c>
      <c r="B18" s="53">
        <v>45122</v>
      </c>
      <c r="C18" s="6">
        <v>26.72</v>
      </c>
      <c r="D18" s="6">
        <v>1547</v>
      </c>
      <c r="E18" s="6">
        <v>8.39</v>
      </c>
      <c r="F18" s="6">
        <v>608</v>
      </c>
      <c r="G18" s="37">
        <v>16.44</v>
      </c>
      <c r="H18" s="37">
        <v>86.37</v>
      </c>
      <c r="I18" s="6">
        <v>612</v>
      </c>
      <c r="J18" s="6">
        <v>30.15</v>
      </c>
      <c r="K18" s="6">
        <v>1558</v>
      </c>
      <c r="L18" s="37">
        <v>61.33</v>
      </c>
      <c r="M18" s="6">
        <v>0</v>
      </c>
      <c r="N18" s="34">
        <v>2.28</v>
      </c>
      <c r="O18" s="37">
        <v>18.67</v>
      </c>
      <c r="P18" s="6">
        <v>914</v>
      </c>
      <c r="Q18" s="36">
        <v>136.4</v>
      </c>
      <c r="R18" s="37">
        <v>4.03</v>
      </c>
      <c r="S18" s="36">
        <v>714.3</v>
      </c>
      <c r="T18" s="6">
        <v>1214</v>
      </c>
      <c r="U18" s="37">
        <v>34.74</v>
      </c>
      <c r="V18" s="6">
        <v>1309</v>
      </c>
      <c r="W18" s="37">
        <v>-39.69</v>
      </c>
      <c r="X18" s="6">
        <v>241</v>
      </c>
      <c r="Y18" s="35">
        <v>1.295</v>
      </c>
    </row>
    <row r="19" spans="1:25" ht="12.75">
      <c r="A19" s="6">
        <v>2023</v>
      </c>
      <c r="B19" s="53">
        <v>45123</v>
      </c>
      <c r="C19" s="6">
        <v>29.11</v>
      </c>
      <c r="D19" s="6">
        <v>1554</v>
      </c>
      <c r="E19" s="37">
        <v>14.72</v>
      </c>
      <c r="F19" s="6">
        <v>514</v>
      </c>
      <c r="G19" s="37">
        <v>21.02</v>
      </c>
      <c r="H19" s="37">
        <v>81.18</v>
      </c>
      <c r="I19" s="6">
        <v>520</v>
      </c>
      <c r="J19" s="6">
        <v>35.49</v>
      </c>
      <c r="K19" s="6">
        <v>1602</v>
      </c>
      <c r="L19" s="37">
        <v>60.24</v>
      </c>
      <c r="M19" s="38">
        <v>0</v>
      </c>
      <c r="N19" s="34">
        <v>1.97</v>
      </c>
      <c r="O19" s="37">
        <v>19.47</v>
      </c>
      <c r="P19" s="6">
        <v>1434</v>
      </c>
      <c r="Q19" s="36">
        <v>149.7</v>
      </c>
      <c r="R19" s="37">
        <v>4.88</v>
      </c>
      <c r="S19" s="36">
        <v>850.6</v>
      </c>
      <c r="T19" s="6">
        <v>1209</v>
      </c>
      <c r="U19" s="6">
        <v>29.53</v>
      </c>
      <c r="V19" s="6">
        <v>1242</v>
      </c>
      <c r="W19" s="6">
        <v>-36.76</v>
      </c>
      <c r="X19" s="6">
        <v>329</v>
      </c>
      <c r="Y19" s="35">
        <v>1.654</v>
      </c>
    </row>
    <row r="20" spans="1:25" ht="12.75">
      <c r="A20" s="6">
        <v>2023</v>
      </c>
      <c r="B20" s="53">
        <v>45124</v>
      </c>
      <c r="C20" s="37">
        <v>29.89</v>
      </c>
      <c r="D20" s="6">
        <v>1444</v>
      </c>
      <c r="E20" s="37">
        <v>17.01</v>
      </c>
      <c r="F20" s="6">
        <v>615</v>
      </c>
      <c r="G20" s="6">
        <v>23.11</v>
      </c>
      <c r="H20" s="37">
        <v>77.49</v>
      </c>
      <c r="I20" s="6">
        <v>621</v>
      </c>
      <c r="J20" s="37">
        <v>40.15</v>
      </c>
      <c r="K20" s="6">
        <v>1457</v>
      </c>
      <c r="L20" s="37">
        <v>58.16</v>
      </c>
      <c r="M20" s="6">
        <v>0</v>
      </c>
      <c r="N20" s="34">
        <v>1.7</v>
      </c>
      <c r="O20" s="37">
        <v>19.15</v>
      </c>
      <c r="P20" s="6">
        <v>1154</v>
      </c>
      <c r="Q20" s="36">
        <v>121.2</v>
      </c>
      <c r="R20" s="37">
        <v>5.16</v>
      </c>
      <c r="S20" s="36">
        <v>928.3</v>
      </c>
      <c r="T20" s="6">
        <v>1154</v>
      </c>
      <c r="U20" s="54">
        <v>41.56</v>
      </c>
      <c r="V20" s="46">
        <v>1301</v>
      </c>
      <c r="W20" s="54">
        <v>-43.18</v>
      </c>
      <c r="X20" s="46">
        <v>2359</v>
      </c>
      <c r="Y20" s="47">
        <v>1.791</v>
      </c>
    </row>
    <row r="21" spans="1:25" ht="12.75">
      <c r="A21" s="6">
        <v>2023</v>
      </c>
      <c r="B21" s="53">
        <v>45125</v>
      </c>
      <c r="C21" s="37">
        <v>30.72</v>
      </c>
      <c r="D21" s="6">
        <v>1434</v>
      </c>
      <c r="E21" s="37">
        <v>17.28</v>
      </c>
      <c r="F21" s="6">
        <v>705</v>
      </c>
      <c r="G21" s="37">
        <v>23.28</v>
      </c>
      <c r="H21" s="37">
        <v>85.04</v>
      </c>
      <c r="I21" s="6">
        <v>712</v>
      </c>
      <c r="J21" s="37">
        <v>36.29</v>
      </c>
      <c r="K21" s="6">
        <v>1451</v>
      </c>
      <c r="L21" s="37">
        <v>63.92</v>
      </c>
      <c r="M21" s="6">
        <v>0</v>
      </c>
      <c r="N21" s="37">
        <v>2.5</v>
      </c>
      <c r="O21" s="34">
        <v>27.04</v>
      </c>
      <c r="P21" s="6">
        <v>2104</v>
      </c>
      <c r="Q21" s="36">
        <v>126.5</v>
      </c>
      <c r="R21" s="37">
        <v>5.39</v>
      </c>
      <c r="S21" s="36">
        <v>835.4</v>
      </c>
      <c r="T21" s="6">
        <v>1149</v>
      </c>
      <c r="U21" s="46">
        <v>21.59</v>
      </c>
      <c r="V21" s="46">
        <v>1354</v>
      </c>
      <c r="W21" s="54">
        <v>-55.46</v>
      </c>
      <c r="X21" s="46">
        <v>153</v>
      </c>
      <c r="Y21" s="47">
        <v>1.74</v>
      </c>
    </row>
    <row r="22" spans="1:25" ht="12.75">
      <c r="A22" s="6">
        <v>2023</v>
      </c>
      <c r="B22" s="53">
        <v>45126</v>
      </c>
      <c r="C22" s="37">
        <v>27.61</v>
      </c>
      <c r="D22" s="6">
        <v>1518</v>
      </c>
      <c r="E22" s="37">
        <v>15.79</v>
      </c>
      <c r="F22" s="6">
        <v>524</v>
      </c>
      <c r="G22" s="37">
        <v>20.94</v>
      </c>
      <c r="H22" s="37">
        <v>90.86</v>
      </c>
      <c r="I22" s="6">
        <v>536</v>
      </c>
      <c r="J22" s="37">
        <v>48.76</v>
      </c>
      <c r="K22" s="6">
        <v>1532</v>
      </c>
      <c r="L22" s="37">
        <v>74.28</v>
      </c>
      <c r="M22" s="6">
        <v>0</v>
      </c>
      <c r="N22" s="34">
        <v>4.43</v>
      </c>
      <c r="O22" s="37">
        <v>28.49</v>
      </c>
      <c r="P22" s="6">
        <v>834</v>
      </c>
      <c r="Q22" s="36">
        <v>115.4</v>
      </c>
      <c r="R22" s="37">
        <v>4.92</v>
      </c>
      <c r="S22" s="36">
        <v>763.9</v>
      </c>
      <c r="T22" s="6">
        <v>1239</v>
      </c>
      <c r="U22" s="37">
        <v>24.56</v>
      </c>
      <c r="V22" s="6">
        <v>1229</v>
      </c>
      <c r="W22" s="37">
        <v>-36.8</v>
      </c>
      <c r="X22" s="6">
        <v>344</v>
      </c>
      <c r="Y22" s="35">
        <v>1.344</v>
      </c>
    </row>
    <row r="23" spans="1:25" ht="12.75">
      <c r="A23" s="6">
        <v>2023</v>
      </c>
      <c r="B23" s="53">
        <v>45127</v>
      </c>
      <c r="C23" s="6">
        <v>29.15</v>
      </c>
      <c r="D23" s="6">
        <v>1509</v>
      </c>
      <c r="E23" s="37">
        <v>15.51</v>
      </c>
      <c r="F23" s="6">
        <v>453</v>
      </c>
      <c r="G23" s="37">
        <v>21.28</v>
      </c>
      <c r="H23" s="37">
        <v>92.22</v>
      </c>
      <c r="I23" s="6">
        <v>502</v>
      </c>
      <c r="J23" s="37">
        <v>40.32</v>
      </c>
      <c r="K23" s="6">
        <v>1533</v>
      </c>
      <c r="L23" s="37">
        <v>70.44</v>
      </c>
      <c r="M23" s="6">
        <v>0</v>
      </c>
      <c r="N23" s="34">
        <v>3.26</v>
      </c>
      <c r="O23" s="37">
        <v>26.72</v>
      </c>
      <c r="P23" s="6">
        <v>124</v>
      </c>
      <c r="Q23" s="36">
        <v>118.6</v>
      </c>
      <c r="R23" s="37">
        <v>5.21</v>
      </c>
      <c r="S23" s="36">
        <v>715.3</v>
      </c>
      <c r="T23" s="6">
        <v>1239</v>
      </c>
      <c r="U23" s="37">
        <v>33.09</v>
      </c>
      <c r="V23" s="6">
        <v>1308</v>
      </c>
      <c r="W23" s="37">
        <v>-45.02</v>
      </c>
      <c r="X23" s="6">
        <v>221</v>
      </c>
      <c r="Y23" s="35">
        <v>1.694</v>
      </c>
    </row>
    <row r="24" spans="1:25" ht="12.75">
      <c r="A24" s="6">
        <v>2023</v>
      </c>
      <c r="B24" s="53">
        <v>45128</v>
      </c>
      <c r="C24" s="37">
        <v>27.29</v>
      </c>
      <c r="D24" s="6">
        <v>1459</v>
      </c>
      <c r="E24" s="37">
        <v>15.89</v>
      </c>
      <c r="F24" s="6">
        <v>659</v>
      </c>
      <c r="G24" s="37">
        <v>21.06</v>
      </c>
      <c r="H24" s="37">
        <v>87.81</v>
      </c>
      <c r="I24" s="6">
        <v>702</v>
      </c>
      <c r="J24" s="6">
        <v>46.14</v>
      </c>
      <c r="K24" s="6">
        <v>1512</v>
      </c>
      <c r="L24" s="37">
        <v>68.93</v>
      </c>
      <c r="M24" s="6">
        <v>0</v>
      </c>
      <c r="N24" s="34">
        <v>2.1</v>
      </c>
      <c r="O24" s="34">
        <v>21.57</v>
      </c>
      <c r="P24" s="6">
        <v>953</v>
      </c>
      <c r="Q24" s="36">
        <v>129.3</v>
      </c>
      <c r="R24" s="37">
        <v>4.83</v>
      </c>
      <c r="S24" s="36">
        <v>734.9</v>
      </c>
      <c r="T24" s="6">
        <v>1241</v>
      </c>
      <c r="U24" s="54">
        <v>37.24</v>
      </c>
      <c r="V24" s="46">
        <v>1235</v>
      </c>
      <c r="W24" s="54">
        <v>-42.68</v>
      </c>
      <c r="X24" s="46">
        <v>2347</v>
      </c>
      <c r="Y24" s="47">
        <v>1.381</v>
      </c>
    </row>
    <row r="25" spans="1:25" ht="12.75">
      <c r="A25" s="6">
        <v>2023</v>
      </c>
      <c r="B25" s="53">
        <v>45129</v>
      </c>
      <c r="C25" s="37">
        <v>27.11</v>
      </c>
      <c r="D25" s="6">
        <v>1624</v>
      </c>
      <c r="E25" s="37">
        <v>15.28</v>
      </c>
      <c r="F25" s="6">
        <v>629</v>
      </c>
      <c r="G25" s="6">
        <v>20.89</v>
      </c>
      <c r="H25" s="37">
        <v>91.11</v>
      </c>
      <c r="I25" s="6">
        <v>633</v>
      </c>
      <c r="J25" s="37">
        <v>44.45</v>
      </c>
      <c r="K25" s="6">
        <v>1631</v>
      </c>
      <c r="L25" s="37">
        <v>66.89</v>
      </c>
      <c r="M25" s="6">
        <v>0</v>
      </c>
      <c r="N25" s="34">
        <v>1.97</v>
      </c>
      <c r="O25" s="37">
        <v>23.33</v>
      </c>
      <c r="P25" s="6">
        <v>1244</v>
      </c>
      <c r="Q25" s="36">
        <v>94.2</v>
      </c>
      <c r="R25" s="37">
        <v>4.91</v>
      </c>
      <c r="S25" s="36">
        <v>740.5</v>
      </c>
      <c r="T25" s="6">
        <v>1239</v>
      </c>
      <c r="U25" s="37">
        <v>32.67</v>
      </c>
      <c r="V25" s="6">
        <v>1306</v>
      </c>
      <c r="W25" s="6">
        <v>-56.21</v>
      </c>
      <c r="X25" s="6">
        <v>303</v>
      </c>
      <c r="Y25" s="6">
        <v>1.578</v>
      </c>
    </row>
    <row r="26" spans="1:26" ht="12.75">
      <c r="A26" s="6">
        <v>2023</v>
      </c>
      <c r="B26" s="53">
        <v>45130</v>
      </c>
      <c r="C26" s="37">
        <v>29</v>
      </c>
      <c r="D26" s="51" t="s">
        <v>47</v>
      </c>
      <c r="E26" s="37">
        <v>15.5</v>
      </c>
      <c r="F26" s="6">
        <v>658</v>
      </c>
      <c r="G26" s="37">
        <v>21.85</v>
      </c>
      <c r="H26" s="37">
        <v>83.29</v>
      </c>
      <c r="I26" s="6">
        <v>704</v>
      </c>
      <c r="J26" s="37">
        <v>35.34</v>
      </c>
      <c r="K26" s="6">
        <v>1435</v>
      </c>
      <c r="L26" s="37">
        <v>59.93</v>
      </c>
      <c r="M26" s="38">
        <v>0</v>
      </c>
      <c r="N26" s="37">
        <v>2.01</v>
      </c>
      <c r="O26" s="37">
        <v>21.56</v>
      </c>
      <c r="P26" s="6">
        <v>1229</v>
      </c>
      <c r="Q26" s="36">
        <v>133.1</v>
      </c>
      <c r="R26" s="37">
        <v>5.36</v>
      </c>
      <c r="S26" s="36">
        <v>857.6</v>
      </c>
      <c r="T26" s="6">
        <v>1329</v>
      </c>
      <c r="U26" s="37">
        <v>32.26</v>
      </c>
      <c r="V26" s="6">
        <v>1305</v>
      </c>
      <c r="W26" s="37">
        <v>-45.02</v>
      </c>
      <c r="X26" s="6">
        <v>215</v>
      </c>
      <c r="Y26" s="35">
        <v>1.694</v>
      </c>
      <c r="Z26" s="32"/>
    </row>
    <row r="27" spans="1:25" ht="12.75">
      <c r="A27" s="6">
        <v>2023</v>
      </c>
      <c r="B27" s="53">
        <v>45131</v>
      </c>
      <c r="C27" s="37">
        <v>29.62</v>
      </c>
      <c r="D27" s="6">
        <v>1649</v>
      </c>
      <c r="E27" s="37">
        <v>16.39</v>
      </c>
      <c r="F27" s="6">
        <v>718</v>
      </c>
      <c r="G27" s="37">
        <v>22.45</v>
      </c>
      <c r="H27" s="37">
        <v>73.47</v>
      </c>
      <c r="I27" s="6">
        <v>721</v>
      </c>
      <c r="J27" s="37">
        <v>30.02</v>
      </c>
      <c r="K27" s="6">
        <v>1650</v>
      </c>
      <c r="L27" s="37">
        <v>53.28</v>
      </c>
      <c r="M27" s="6">
        <v>0</v>
      </c>
      <c r="N27" s="34">
        <v>1.88</v>
      </c>
      <c r="O27" s="37">
        <v>16.9</v>
      </c>
      <c r="P27" s="6">
        <v>1124</v>
      </c>
      <c r="Q27" s="36">
        <v>143.4</v>
      </c>
      <c r="R27" s="37">
        <v>5.25</v>
      </c>
      <c r="S27" s="36">
        <v>748.7</v>
      </c>
      <c r="T27" s="6">
        <v>1234</v>
      </c>
      <c r="U27" s="37">
        <v>29.39</v>
      </c>
      <c r="V27" s="6">
        <v>1305</v>
      </c>
      <c r="W27" s="37">
        <v>-44.13</v>
      </c>
      <c r="X27" s="6">
        <v>513</v>
      </c>
      <c r="Y27" s="35">
        <v>1.494</v>
      </c>
    </row>
    <row r="28" spans="1:25" ht="12.75">
      <c r="A28" s="6">
        <v>2023</v>
      </c>
      <c r="B28" s="53">
        <v>45132</v>
      </c>
      <c r="C28" s="37">
        <v>28.5</v>
      </c>
      <c r="D28" s="6">
        <v>1444</v>
      </c>
      <c r="E28" s="37">
        <v>16.13</v>
      </c>
      <c r="F28" s="6">
        <v>534</v>
      </c>
      <c r="G28" s="37">
        <v>22.12</v>
      </c>
      <c r="H28" s="37">
        <v>85.32</v>
      </c>
      <c r="I28" s="6">
        <v>543</v>
      </c>
      <c r="J28" s="37">
        <v>43.24</v>
      </c>
      <c r="K28" s="6">
        <v>1459</v>
      </c>
      <c r="L28" s="37">
        <v>64.35</v>
      </c>
      <c r="M28" s="38">
        <v>0</v>
      </c>
      <c r="N28" s="34">
        <v>1.97</v>
      </c>
      <c r="O28" s="37">
        <v>23.01</v>
      </c>
      <c r="P28" s="6">
        <v>1054</v>
      </c>
      <c r="Q28" s="36">
        <v>146.7</v>
      </c>
      <c r="R28" s="34">
        <v>5.02</v>
      </c>
      <c r="S28" s="36">
        <v>863.7</v>
      </c>
      <c r="T28" s="6">
        <v>1313</v>
      </c>
      <c r="U28" s="37">
        <v>20.44</v>
      </c>
      <c r="V28" s="6">
        <v>1200</v>
      </c>
      <c r="W28" s="6">
        <v>-42.56</v>
      </c>
      <c r="X28" s="6">
        <v>2358</v>
      </c>
      <c r="Y28" s="39">
        <v>1.499</v>
      </c>
    </row>
    <row r="29" spans="1:25" ht="12.75">
      <c r="A29" s="6">
        <v>2023</v>
      </c>
      <c r="B29" s="53">
        <v>45133</v>
      </c>
      <c r="C29" s="37">
        <v>30</v>
      </c>
      <c r="D29" s="6">
        <v>1534</v>
      </c>
      <c r="E29" s="37">
        <v>16.52</v>
      </c>
      <c r="F29" s="6">
        <v>654</v>
      </c>
      <c r="G29" s="37">
        <v>23.17</v>
      </c>
      <c r="H29" s="37">
        <v>86.04</v>
      </c>
      <c r="I29" s="6">
        <v>700</v>
      </c>
      <c r="J29" s="37">
        <v>31.39</v>
      </c>
      <c r="K29" s="6">
        <v>1542</v>
      </c>
      <c r="L29" s="37">
        <v>56.8</v>
      </c>
      <c r="M29" s="38">
        <v>0</v>
      </c>
      <c r="N29" s="34">
        <v>1.65</v>
      </c>
      <c r="O29" s="34">
        <v>21.24</v>
      </c>
      <c r="P29" s="6">
        <v>1156</v>
      </c>
      <c r="Q29" s="36">
        <v>129.8</v>
      </c>
      <c r="R29" s="37">
        <v>5.44</v>
      </c>
      <c r="S29" s="36">
        <v>751.8</v>
      </c>
      <c r="T29" s="6">
        <v>1239</v>
      </c>
      <c r="U29" s="46">
        <v>21.39</v>
      </c>
      <c r="V29" s="46">
        <v>1352</v>
      </c>
      <c r="W29" s="54">
        <v>-55.4</v>
      </c>
      <c r="X29" s="46">
        <v>158</v>
      </c>
      <c r="Y29" s="47">
        <v>1.74</v>
      </c>
    </row>
    <row r="30" spans="1:25" ht="12.75">
      <c r="A30" s="6">
        <v>2023</v>
      </c>
      <c r="B30" s="53">
        <v>45134</v>
      </c>
      <c r="C30" s="37">
        <v>30.5</v>
      </c>
      <c r="D30" s="6">
        <v>1539</v>
      </c>
      <c r="E30" s="37">
        <v>16.5</v>
      </c>
      <c r="F30" s="6">
        <v>651</v>
      </c>
      <c r="G30" s="6">
        <v>23.23</v>
      </c>
      <c r="H30" s="37">
        <v>77.18</v>
      </c>
      <c r="I30" s="6">
        <v>659</v>
      </c>
      <c r="J30" s="37">
        <v>29.45</v>
      </c>
      <c r="K30" s="46">
        <v>1542</v>
      </c>
      <c r="L30" s="37">
        <v>50.77</v>
      </c>
      <c r="M30" s="6">
        <v>0</v>
      </c>
      <c r="N30" s="34">
        <v>1.79</v>
      </c>
      <c r="O30" s="37">
        <v>16.9</v>
      </c>
      <c r="P30" s="6">
        <v>1136</v>
      </c>
      <c r="Q30" s="36">
        <v>134.5</v>
      </c>
      <c r="R30" s="34">
        <v>5.63</v>
      </c>
      <c r="S30" s="36">
        <v>730.5</v>
      </c>
      <c r="T30" s="6">
        <v>1241</v>
      </c>
      <c r="U30" s="37">
        <v>46.47</v>
      </c>
      <c r="V30" s="6">
        <v>1303</v>
      </c>
      <c r="W30" s="37">
        <v>-45.66</v>
      </c>
      <c r="X30" s="6">
        <v>2312</v>
      </c>
      <c r="Y30" s="35">
        <v>1.758</v>
      </c>
    </row>
    <row r="31" spans="1:25" ht="12.75">
      <c r="A31" s="6">
        <v>2023</v>
      </c>
      <c r="B31" s="53">
        <v>45135</v>
      </c>
      <c r="C31" s="37">
        <v>31</v>
      </c>
      <c r="D31" s="6">
        <v>1514</v>
      </c>
      <c r="E31" s="37">
        <v>16.74</v>
      </c>
      <c r="F31" s="6">
        <v>657</v>
      </c>
      <c r="G31" s="37">
        <v>23.85</v>
      </c>
      <c r="H31" s="37">
        <v>78.38</v>
      </c>
      <c r="I31" s="6">
        <v>705</v>
      </c>
      <c r="J31" s="6">
        <v>30.28</v>
      </c>
      <c r="K31" s="6">
        <v>1515</v>
      </c>
      <c r="L31" s="37">
        <v>54.27</v>
      </c>
      <c r="M31" s="6">
        <v>0</v>
      </c>
      <c r="N31" s="34">
        <v>2.73</v>
      </c>
      <c r="O31" s="37">
        <v>30.58</v>
      </c>
      <c r="P31" s="6">
        <v>2154</v>
      </c>
      <c r="Q31" s="36">
        <v>140.6</v>
      </c>
      <c r="R31" s="37">
        <v>5.84</v>
      </c>
      <c r="S31" s="36">
        <v>723.1</v>
      </c>
      <c r="T31" s="6">
        <v>1258</v>
      </c>
      <c r="U31" s="54">
        <v>16.73</v>
      </c>
      <c r="V31" s="46">
        <v>1240</v>
      </c>
      <c r="W31" s="54">
        <v>-47.86</v>
      </c>
      <c r="X31" s="46">
        <v>110</v>
      </c>
      <c r="Y31" s="47">
        <v>1.928</v>
      </c>
    </row>
    <row r="32" spans="1:25" ht="12.75">
      <c r="A32" s="6">
        <v>2023</v>
      </c>
      <c r="B32" s="53">
        <v>45136</v>
      </c>
      <c r="C32" s="37">
        <v>27.62</v>
      </c>
      <c r="D32" s="6">
        <v>1549</v>
      </c>
      <c r="E32" s="37">
        <v>17.78</v>
      </c>
      <c r="F32" s="6">
        <v>254</v>
      </c>
      <c r="G32" s="37">
        <v>21.79</v>
      </c>
      <c r="H32" s="37">
        <v>83.94</v>
      </c>
      <c r="I32" s="6">
        <v>316</v>
      </c>
      <c r="J32" s="6">
        <v>42.79</v>
      </c>
      <c r="K32" s="6">
        <v>1558</v>
      </c>
      <c r="L32" s="37">
        <v>67.41</v>
      </c>
      <c r="M32" s="6">
        <v>0</v>
      </c>
      <c r="N32" s="34">
        <v>3</v>
      </c>
      <c r="O32" s="37">
        <v>26.23</v>
      </c>
      <c r="P32" s="6">
        <v>1015</v>
      </c>
      <c r="Q32" s="36">
        <v>176.7</v>
      </c>
      <c r="R32" s="37">
        <v>4.96</v>
      </c>
      <c r="S32" s="36">
        <v>731.3</v>
      </c>
      <c r="T32" s="6">
        <v>1253</v>
      </c>
      <c r="U32" s="37">
        <v>35.23</v>
      </c>
      <c r="V32" s="6">
        <v>1257</v>
      </c>
      <c r="W32" s="37">
        <v>-47.14</v>
      </c>
      <c r="X32" s="6">
        <v>558</v>
      </c>
      <c r="Y32" s="35">
        <v>1.587</v>
      </c>
    </row>
    <row r="33" spans="1:25" ht="12.75">
      <c r="A33" s="6">
        <v>2023</v>
      </c>
      <c r="B33" s="53">
        <v>45137</v>
      </c>
      <c r="C33" s="37">
        <v>29.28</v>
      </c>
      <c r="D33" s="6">
        <v>1639</v>
      </c>
      <c r="E33" s="37">
        <v>13.32</v>
      </c>
      <c r="F33" s="6">
        <v>644</v>
      </c>
      <c r="G33" s="37">
        <v>20.25</v>
      </c>
      <c r="H33" s="37">
        <v>91.03</v>
      </c>
      <c r="I33" s="6">
        <v>652</v>
      </c>
      <c r="J33" s="37">
        <v>39.44</v>
      </c>
      <c r="K33" s="6">
        <v>1642</v>
      </c>
      <c r="L33" s="37">
        <v>69.07</v>
      </c>
      <c r="M33" s="6">
        <v>0</v>
      </c>
      <c r="N33" s="34">
        <v>3.26</v>
      </c>
      <c r="O33" s="37">
        <v>28</v>
      </c>
      <c r="P33" s="6">
        <v>1132</v>
      </c>
      <c r="Q33" s="36">
        <v>185.3</v>
      </c>
      <c r="R33" s="37">
        <v>5.02</v>
      </c>
      <c r="S33" s="36">
        <v>733.5</v>
      </c>
      <c r="T33" s="6">
        <v>1255</v>
      </c>
      <c r="U33" s="6">
        <v>28.61</v>
      </c>
      <c r="V33" s="6">
        <v>1323</v>
      </c>
      <c r="W33" s="37">
        <v>-36.41</v>
      </c>
      <c r="X33" s="6">
        <v>148</v>
      </c>
      <c r="Y33" s="35">
        <v>1.475</v>
      </c>
    </row>
    <row r="34" spans="1:25" ht="12.75">
      <c r="A34" s="6">
        <v>2023</v>
      </c>
      <c r="B34" s="53">
        <v>45138</v>
      </c>
      <c r="C34" s="37">
        <v>29.32</v>
      </c>
      <c r="D34" s="6">
        <v>1443</v>
      </c>
      <c r="E34" s="37">
        <v>16.02</v>
      </c>
      <c r="F34" s="6">
        <v>632</v>
      </c>
      <c r="G34" s="37">
        <v>21.63</v>
      </c>
      <c r="H34" s="37">
        <v>85.37</v>
      </c>
      <c r="I34" s="6">
        <v>642</v>
      </c>
      <c r="J34" s="6">
        <v>34.16</v>
      </c>
      <c r="K34" s="6">
        <v>1500</v>
      </c>
      <c r="L34" s="6">
        <v>63.28</v>
      </c>
      <c r="M34" s="38">
        <v>0</v>
      </c>
      <c r="N34" s="34">
        <v>2.41</v>
      </c>
      <c r="O34" s="37">
        <v>18.67</v>
      </c>
      <c r="P34" s="6">
        <v>1424</v>
      </c>
      <c r="Q34" s="36">
        <v>189.1</v>
      </c>
      <c r="R34" s="37">
        <v>5.54</v>
      </c>
      <c r="S34" s="36">
        <v>776.5</v>
      </c>
      <c r="T34" s="6">
        <v>1301</v>
      </c>
      <c r="U34" s="46">
        <v>21.39</v>
      </c>
      <c r="V34" s="46">
        <v>1352</v>
      </c>
      <c r="W34" s="54">
        <v>-55.4</v>
      </c>
      <c r="X34" s="46">
        <v>158</v>
      </c>
      <c r="Y34" s="47">
        <v>1.77</v>
      </c>
    </row>
    <row r="35" spans="3:25" ht="12.75">
      <c r="C35" s="40">
        <f>AVERAGE(C4:C34)</f>
        <v>28.198387096774198</v>
      </c>
      <c r="D35" s="33"/>
      <c r="E35" s="40">
        <f>AVERAGE(E4:E34)</f>
        <v>14.419677419354837</v>
      </c>
      <c r="F35" s="33"/>
      <c r="G35" s="40">
        <f>AVERAGE(G4:G34)</f>
        <v>20.84709677419355</v>
      </c>
      <c r="H35" s="40">
        <f>AVERAGE(H4:H34)</f>
        <v>85.7058064516129</v>
      </c>
      <c r="I35" s="33"/>
      <c r="J35" s="40">
        <f>AVERAGE(J4:J34)</f>
        <v>35.749032258064524</v>
      </c>
      <c r="K35" s="33"/>
      <c r="L35" s="40">
        <f>AVERAGE(L4:L34)</f>
        <v>61.57387096774194</v>
      </c>
      <c r="M35" s="41">
        <f>SUM(M4:M34)</f>
        <v>2.8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41">
        <f>SUM(Y4:Y34)</f>
        <v>47.63600000000002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68" r:id="rId1"/>
  <headerFooter alignWithMargins="0">
    <oddHeader>&amp;CDADOS METEOROLÓGICOS - ESTAÇÃO EXPERIMENTAL DE CITRICULTURA DE BEBEDOURO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zoomScale="75" zoomScaleSheetLayoutView="75" zoomScalePageLayoutView="0" workbookViewId="0" topLeftCell="B2">
      <selection activeCell="K35" sqref="K35"/>
    </sheetView>
  </sheetViews>
  <sheetFormatPr defaultColWidth="9.140625" defaultRowHeight="12.75"/>
  <cols>
    <col min="1" max="1" width="7.281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28125" style="0" customWidth="1"/>
    <col min="13" max="13" width="7.28125" style="0" customWidth="1"/>
    <col min="15" max="15" width="9.7109375" style="0" bestFit="1" customWidth="1"/>
    <col min="16" max="16" width="7.7109375" style="0" customWidth="1"/>
    <col min="17" max="17" width="6.57421875" style="0" customWidth="1"/>
    <col min="18" max="18" width="7.7109375" style="0" customWidth="1"/>
    <col min="19" max="19" width="8.7109375" style="0" customWidth="1"/>
    <col min="20" max="20" width="8.00390625" style="0" customWidth="1"/>
    <col min="21" max="21" width="8.281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70">
        <v>39448</v>
      </c>
      <c r="B1" s="70"/>
      <c r="C1" s="8">
        <v>1</v>
      </c>
      <c r="E1">
        <v>3.6</v>
      </c>
    </row>
    <row r="2" spans="1:25" ht="30">
      <c r="A2" s="71" t="s">
        <v>12</v>
      </c>
      <c r="B2" s="71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72"/>
      <c r="B3" s="72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2023</v>
      </c>
      <c r="B4" s="53">
        <v>45139</v>
      </c>
      <c r="C4" s="37">
        <v>30.5</v>
      </c>
      <c r="D4" s="6">
        <v>1533</v>
      </c>
      <c r="E4" s="37">
        <v>15.22</v>
      </c>
      <c r="F4" s="6">
        <v>706</v>
      </c>
      <c r="G4" s="37">
        <v>23.23</v>
      </c>
      <c r="H4" s="37">
        <v>86.15</v>
      </c>
      <c r="I4" s="6">
        <v>709</v>
      </c>
      <c r="J4" s="37">
        <v>33.24</v>
      </c>
      <c r="K4" s="6">
        <v>1535</v>
      </c>
      <c r="L4" s="6">
        <v>59.42</v>
      </c>
      <c r="M4" s="6">
        <v>0</v>
      </c>
      <c r="N4" s="6">
        <v>1.74</v>
      </c>
      <c r="O4" s="34">
        <v>15.77</v>
      </c>
      <c r="P4" s="6">
        <v>1424</v>
      </c>
      <c r="Q4" s="43">
        <v>174.2</v>
      </c>
      <c r="R4" s="37">
        <v>5.86</v>
      </c>
      <c r="S4" s="36">
        <v>741.7</v>
      </c>
      <c r="T4" s="6">
        <v>1257</v>
      </c>
      <c r="U4" s="37">
        <v>29.62</v>
      </c>
      <c r="V4" s="6">
        <v>1324</v>
      </c>
      <c r="W4" s="6">
        <v>-43.54</v>
      </c>
      <c r="X4" s="6">
        <v>257</v>
      </c>
      <c r="Y4" s="35">
        <v>1.671</v>
      </c>
    </row>
    <row r="5" spans="1:25" ht="12.75">
      <c r="A5" s="6">
        <v>2023</v>
      </c>
      <c r="B5" s="53">
        <v>45140</v>
      </c>
      <c r="C5" s="37">
        <v>30.63</v>
      </c>
      <c r="D5" s="6">
        <v>1609</v>
      </c>
      <c r="E5" s="37">
        <v>16.39</v>
      </c>
      <c r="F5" s="6">
        <v>632</v>
      </c>
      <c r="G5" s="37">
        <v>23.39</v>
      </c>
      <c r="H5" s="37">
        <v>75.89</v>
      </c>
      <c r="I5" s="6">
        <v>641</v>
      </c>
      <c r="J5" s="37">
        <v>32.92</v>
      </c>
      <c r="K5" s="6">
        <v>1612</v>
      </c>
      <c r="L5" s="37">
        <v>52.88</v>
      </c>
      <c r="M5" s="6">
        <v>0</v>
      </c>
      <c r="N5" s="34">
        <v>1.52</v>
      </c>
      <c r="O5" s="34">
        <v>18.35</v>
      </c>
      <c r="P5" s="6">
        <v>1229</v>
      </c>
      <c r="Q5" s="36">
        <v>133.1</v>
      </c>
      <c r="R5" s="37">
        <v>6.02</v>
      </c>
      <c r="S5" s="36">
        <v>727</v>
      </c>
      <c r="T5" s="6">
        <v>1039</v>
      </c>
      <c r="U5" s="46">
        <v>23.39</v>
      </c>
      <c r="V5" s="46">
        <v>1351</v>
      </c>
      <c r="W5" s="54">
        <v>-53.4</v>
      </c>
      <c r="X5" s="46">
        <v>153</v>
      </c>
      <c r="Y5" s="47">
        <v>1.747</v>
      </c>
    </row>
    <row r="6" spans="1:25" ht="12.75">
      <c r="A6" s="6">
        <v>2023</v>
      </c>
      <c r="B6" s="53">
        <v>45141</v>
      </c>
      <c r="C6" s="37">
        <v>31.12</v>
      </c>
      <c r="D6" s="6">
        <v>1504</v>
      </c>
      <c r="E6" s="6">
        <v>16.78</v>
      </c>
      <c r="F6" s="6">
        <v>614</v>
      </c>
      <c r="G6" s="37">
        <v>23.57</v>
      </c>
      <c r="H6" s="37">
        <v>75.32</v>
      </c>
      <c r="I6" s="6">
        <v>615</v>
      </c>
      <c r="J6" s="37">
        <v>30.47</v>
      </c>
      <c r="K6" s="6">
        <v>1515</v>
      </c>
      <c r="L6" s="37">
        <v>51.04</v>
      </c>
      <c r="M6" s="6">
        <v>0</v>
      </c>
      <c r="N6" s="37">
        <v>1.73</v>
      </c>
      <c r="O6" s="37">
        <v>18.67</v>
      </c>
      <c r="P6" s="6">
        <v>1141</v>
      </c>
      <c r="Q6" s="36">
        <v>136.5</v>
      </c>
      <c r="R6" s="37">
        <v>5.97</v>
      </c>
      <c r="S6" s="36">
        <v>733</v>
      </c>
      <c r="T6" s="6">
        <v>1044</v>
      </c>
      <c r="U6" s="37">
        <v>32.92</v>
      </c>
      <c r="V6" s="6">
        <v>1333</v>
      </c>
      <c r="W6" s="6">
        <v>-45.14</v>
      </c>
      <c r="X6" s="6">
        <v>306</v>
      </c>
      <c r="Y6" s="35">
        <v>1.751</v>
      </c>
    </row>
    <row r="7" spans="1:25" ht="12.75">
      <c r="A7" s="6">
        <v>2023</v>
      </c>
      <c r="B7" s="53">
        <v>45142</v>
      </c>
      <c r="C7" s="37">
        <v>31.11</v>
      </c>
      <c r="D7" s="6">
        <v>1453</v>
      </c>
      <c r="E7" s="37">
        <v>17</v>
      </c>
      <c r="F7" s="6">
        <v>659</v>
      </c>
      <c r="G7" s="37">
        <v>23.8</v>
      </c>
      <c r="H7" s="37">
        <v>73.41</v>
      </c>
      <c r="I7" s="6">
        <v>704</v>
      </c>
      <c r="J7" s="37">
        <v>27.39</v>
      </c>
      <c r="K7" s="6">
        <v>1511</v>
      </c>
      <c r="L7" s="37">
        <v>49.02</v>
      </c>
      <c r="M7" s="6">
        <v>0</v>
      </c>
      <c r="N7" s="34">
        <v>1.74</v>
      </c>
      <c r="O7" s="37">
        <v>19.47</v>
      </c>
      <c r="P7" s="6">
        <v>2104</v>
      </c>
      <c r="Q7" s="36">
        <v>188.7</v>
      </c>
      <c r="R7" s="37">
        <v>6.12</v>
      </c>
      <c r="S7" s="36">
        <v>724</v>
      </c>
      <c r="T7" s="6">
        <v>1042</v>
      </c>
      <c r="U7" s="37">
        <v>31.16</v>
      </c>
      <c r="V7" s="6">
        <v>1224</v>
      </c>
      <c r="W7" s="6">
        <v>-50.23</v>
      </c>
      <c r="X7" s="6">
        <v>411</v>
      </c>
      <c r="Y7" s="35">
        <v>1.921</v>
      </c>
    </row>
    <row r="8" spans="1:25" ht="12.75">
      <c r="A8" s="6">
        <v>2023</v>
      </c>
      <c r="B8" s="53">
        <v>45143</v>
      </c>
      <c r="C8" s="37">
        <v>32.13</v>
      </c>
      <c r="D8" s="6">
        <v>1529</v>
      </c>
      <c r="E8" s="37">
        <v>17.5</v>
      </c>
      <c r="F8" s="6">
        <v>647</v>
      </c>
      <c r="G8" s="37">
        <v>24.12</v>
      </c>
      <c r="H8" s="37">
        <v>67.26</v>
      </c>
      <c r="I8" s="6">
        <v>651</v>
      </c>
      <c r="J8" s="37">
        <v>26.24</v>
      </c>
      <c r="K8" s="6">
        <v>1542</v>
      </c>
      <c r="L8" s="37">
        <v>46.94</v>
      </c>
      <c r="M8" s="6">
        <v>0</v>
      </c>
      <c r="N8" s="34">
        <v>2.19</v>
      </c>
      <c r="O8" s="34">
        <v>19.79</v>
      </c>
      <c r="P8" s="6">
        <v>1014</v>
      </c>
      <c r="Q8" s="36">
        <v>127.4</v>
      </c>
      <c r="R8" s="37">
        <v>6.23</v>
      </c>
      <c r="S8" s="36">
        <v>712.7</v>
      </c>
      <c r="T8" s="6">
        <v>1038</v>
      </c>
      <c r="U8" s="37">
        <v>32.17</v>
      </c>
      <c r="V8" s="6">
        <v>1315</v>
      </c>
      <c r="W8" s="37">
        <v>-48.16</v>
      </c>
      <c r="X8" s="6">
        <v>318</v>
      </c>
      <c r="Y8" s="39">
        <v>2.096</v>
      </c>
    </row>
    <row r="9" spans="1:25" ht="12.75">
      <c r="A9" s="6">
        <v>2023</v>
      </c>
      <c r="B9" s="53">
        <v>45144</v>
      </c>
      <c r="C9" s="37">
        <v>31.78</v>
      </c>
      <c r="D9" s="6">
        <v>1504</v>
      </c>
      <c r="E9" s="6">
        <v>17.52</v>
      </c>
      <c r="F9" s="6">
        <v>643</v>
      </c>
      <c r="G9" s="37">
        <v>24.28</v>
      </c>
      <c r="H9" s="37">
        <v>67.15</v>
      </c>
      <c r="I9" s="6">
        <v>649</v>
      </c>
      <c r="J9" s="37">
        <v>26.03</v>
      </c>
      <c r="K9" s="6">
        <v>1518</v>
      </c>
      <c r="L9" s="37">
        <v>46.81</v>
      </c>
      <c r="M9" s="6">
        <v>0</v>
      </c>
      <c r="N9" s="34">
        <v>2.23</v>
      </c>
      <c r="O9" s="34">
        <v>23.34</v>
      </c>
      <c r="P9" s="6">
        <v>1224</v>
      </c>
      <c r="Q9" s="36">
        <v>132.8</v>
      </c>
      <c r="R9" s="37">
        <v>6.05</v>
      </c>
      <c r="S9" s="36">
        <v>730.1</v>
      </c>
      <c r="T9" s="6">
        <v>1043</v>
      </c>
      <c r="U9" s="37">
        <v>36.46</v>
      </c>
      <c r="V9" s="6">
        <v>1437</v>
      </c>
      <c r="W9" s="34">
        <v>-49.89</v>
      </c>
      <c r="X9" s="6">
        <v>2224</v>
      </c>
      <c r="Y9" s="35">
        <v>1.866</v>
      </c>
    </row>
    <row r="10" spans="1:25" ht="12.75">
      <c r="A10" s="6">
        <v>2023</v>
      </c>
      <c r="B10" s="53">
        <v>45145</v>
      </c>
      <c r="C10" s="6">
        <v>32.61</v>
      </c>
      <c r="D10" s="6">
        <v>1533</v>
      </c>
      <c r="E10" s="37">
        <v>18.23</v>
      </c>
      <c r="F10" s="6">
        <v>659</v>
      </c>
      <c r="G10" s="6">
        <v>25.11</v>
      </c>
      <c r="H10" s="37">
        <v>63.39</v>
      </c>
      <c r="I10" s="6">
        <v>703</v>
      </c>
      <c r="J10" s="37">
        <v>22.45</v>
      </c>
      <c r="K10" s="6">
        <v>1541</v>
      </c>
      <c r="L10" s="37">
        <v>41.96</v>
      </c>
      <c r="M10" s="6">
        <v>0</v>
      </c>
      <c r="N10" s="34">
        <v>2.06</v>
      </c>
      <c r="O10" s="34">
        <v>25.27</v>
      </c>
      <c r="P10" s="6">
        <v>1123</v>
      </c>
      <c r="Q10" s="36">
        <v>50.3</v>
      </c>
      <c r="R10" s="37">
        <v>6.27</v>
      </c>
      <c r="S10" s="36">
        <v>726.2</v>
      </c>
      <c r="T10" s="6">
        <v>1038</v>
      </c>
      <c r="U10" s="37">
        <v>35.82</v>
      </c>
      <c r="V10" s="6">
        <v>1356</v>
      </c>
      <c r="W10" s="37">
        <v>-52.92</v>
      </c>
      <c r="X10" s="6">
        <v>2102</v>
      </c>
      <c r="Y10" s="35">
        <v>1.768</v>
      </c>
    </row>
    <row r="11" spans="1:25" ht="12.75">
      <c r="A11" s="6">
        <v>2023</v>
      </c>
      <c r="B11" s="53">
        <v>45146</v>
      </c>
      <c r="C11" s="37">
        <v>31.73</v>
      </c>
      <c r="D11" s="6">
        <v>1544</v>
      </c>
      <c r="E11" s="37">
        <v>17.12</v>
      </c>
      <c r="F11" s="6">
        <v>709</v>
      </c>
      <c r="G11" s="37">
        <v>23.62</v>
      </c>
      <c r="H11" s="37">
        <v>83.82</v>
      </c>
      <c r="I11" s="6">
        <v>712</v>
      </c>
      <c r="J11" s="37">
        <v>30.17</v>
      </c>
      <c r="K11" s="6">
        <v>1602</v>
      </c>
      <c r="L11" s="37">
        <v>56.34</v>
      </c>
      <c r="M11" s="6">
        <v>0</v>
      </c>
      <c r="N11" s="34">
        <v>3.66</v>
      </c>
      <c r="O11" s="34">
        <v>34.6</v>
      </c>
      <c r="P11" s="6">
        <v>1939</v>
      </c>
      <c r="Q11" s="36">
        <v>121.9</v>
      </c>
      <c r="R11" s="37">
        <v>5.86</v>
      </c>
      <c r="S11" s="36">
        <v>712.7</v>
      </c>
      <c r="T11" s="6">
        <v>1329</v>
      </c>
      <c r="U11" s="54">
        <v>12.12</v>
      </c>
      <c r="V11" s="46">
        <v>1235</v>
      </c>
      <c r="W11" s="54">
        <v>-52.29</v>
      </c>
      <c r="X11" s="46">
        <v>517</v>
      </c>
      <c r="Y11" s="47">
        <v>1.606</v>
      </c>
    </row>
    <row r="12" spans="1:25" ht="12.75">
      <c r="A12" s="6">
        <v>2023</v>
      </c>
      <c r="B12" s="53">
        <v>45147</v>
      </c>
      <c r="C12" s="37">
        <v>30.25</v>
      </c>
      <c r="D12" s="6">
        <v>1654</v>
      </c>
      <c r="E12" s="37">
        <v>16.52</v>
      </c>
      <c r="F12" s="6">
        <v>534</v>
      </c>
      <c r="G12" s="6">
        <v>21.63</v>
      </c>
      <c r="H12" s="37">
        <v>90.28</v>
      </c>
      <c r="I12" s="6">
        <v>541</v>
      </c>
      <c r="J12" s="37">
        <v>36.41</v>
      </c>
      <c r="K12" s="6">
        <v>1656</v>
      </c>
      <c r="L12" s="37">
        <v>66.03</v>
      </c>
      <c r="M12" s="6">
        <v>0</v>
      </c>
      <c r="N12" s="34">
        <v>2.68</v>
      </c>
      <c r="O12" s="34">
        <v>26.23</v>
      </c>
      <c r="P12" s="6">
        <v>43</v>
      </c>
      <c r="Q12" s="36">
        <v>127.5</v>
      </c>
      <c r="R12" s="37">
        <v>5.47</v>
      </c>
      <c r="S12" s="36">
        <v>670.7</v>
      </c>
      <c r="T12" s="6">
        <v>1037</v>
      </c>
      <c r="U12" s="46">
        <v>21.39</v>
      </c>
      <c r="V12" s="46">
        <v>1352</v>
      </c>
      <c r="W12" s="54">
        <v>-55.4</v>
      </c>
      <c r="X12" s="46">
        <v>158</v>
      </c>
      <c r="Y12" s="47">
        <v>1.59</v>
      </c>
    </row>
    <row r="13" spans="1:25" ht="12.75">
      <c r="A13" s="6">
        <v>2023</v>
      </c>
      <c r="B13" s="53">
        <v>45148</v>
      </c>
      <c r="C13" s="37">
        <v>32.12</v>
      </c>
      <c r="D13" s="6">
        <v>1542</v>
      </c>
      <c r="E13" s="37">
        <v>17.31</v>
      </c>
      <c r="F13" s="6">
        <v>615</v>
      </c>
      <c r="G13" s="37">
        <v>24.45</v>
      </c>
      <c r="H13" s="37">
        <v>77.16</v>
      </c>
      <c r="I13" s="6">
        <v>622</v>
      </c>
      <c r="J13" s="37">
        <v>30.23</v>
      </c>
      <c r="K13" s="6">
        <v>1545</v>
      </c>
      <c r="L13" s="37">
        <v>53.29</v>
      </c>
      <c r="M13" s="38">
        <v>0</v>
      </c>
      <c r="N13" s="34">
        <v>2.73</v>
      </c>
      <c r="O13" s="34">
        <v>32.83</v>
      </c>
      <c r="P13" s="6">
        <v>1224</v>
      </c>
      <c r="Q13" s="36">
        <v>62.3</v>
      </c>
      <c r="R13" s="37">
        <v>6.14</v>
      </c>
      <c r="S13" s="6">
        <v>723.1</v>
      </c>
      <c r="T13" s="6">
        <v>1121</v>
      </c>
      <c r="U13" s="37">
        <v>29.38</v>
      </c>
      <c r="V13" s="6">
        <v>1404</v>
      </c>
      <c r="W13" s="37">
        <v>-46.17</v>
      </c>
      <c r="X13" s="6">
        <v>146</v>
      </c>
      <c r="Y13" s="35">
        <v>1.921</v>
      </c>
    </row>
    <row r="14" spans="1:26" ht="12.75">
      <c r="A14" s="6">
        <v>2023</v>
      </c>
      <c r="B14" s="53">
        <v>45149</v>
      </c>
      <c r="C14" s="37">
        <v>33</v>
      </c>
      <c r="D14" s="6">
        <v>1513</v>
      </c>
      <c r="E14" s="37">
        <v>17.81</v>
      </c>
      <c r="F14" s="6">
        <v>636</v>
      </c>
      <c r="G14" s="37">
        <v>25.28</v>
      </c>
      <c r="H14" s="37">
        <v>73.89</v>
      </c>
      <c r="I14" s="6">
        <v>641</v>
      </c>
      <c r="J14" s="37">
        <v>26.94</v>
      </c>
      <c r="K14" s="6">
        <v>1522</v>
      </c>
      <c r="L14" s="37">
        <v>51.32</v>
      </c>
      <c r="M14" s="6">
        <v>0</v>
      </c>
      <c r="N14" s="34">
        <v>2.82</v>
      </c>
      <c r="O14" s="34">
        <v>30.9</v>
      </c>
      <c r="P14" s="6">
        <v>2243</v>
      </c>
      <c r="Q14" s="36">
        <v>59.1</v>
      </c>
      <c r="R14" s="37">
        <v>6.49</v>
      </c>
      <c r="S14" s="36">
        <v>742.2</v>
      </c>
      <c r="T14" s="6">
        <v>1130</v>
      </c>
      <c r="U14" s="37">
        <v>32.17</v>
      </c>
      <c r="V14" s="6">
        <v>1315</v>
      </c>
      <c r="W14" s="37">
        <v>-48.16</v>
      </c>
      <c r="X14" s="6">
        <v>318</v>
      </c>
      <c r="Y14" s="39">
        <v>2.096</v>
      </c>
      <c r="Z14" s="13"/>
    </row>
    <row r="15" spans="1:25" ht="12.75">
      <c r="A15" s="6">
        <v>2023</v>
      </c>
      <c r="B15" s="53">
        <v>45150</v>
      </c>
      <c r="C15" s="37">
        <v>33.5</v>
      </c>
      <c r="D15" s="6">
        <v>1439</v>
      </c>
      <c r="E15" s="37">
        <v>18.22</v>
      </c>
      <c r="F15" s="6">
        <v>658</v>
      </c>
      <c r="G15" s="6">
        <v>24.56</v>
      </c>
      <c r="H15" s="37">
        <v>80.12</v>
      </c>
      <c r="I15" s="6">
        <v>705</v>
      </c>
      <c r="J15" s="37">
        <v>28.25</v>
      </c>
      <c r="K15" s="6">
        <v>1452</v>
      </c>
      <c r="L15" s="37">
        <v>57.96</v>
      </c>
      <c r="M15" s="6">
        <v>0</v>
      </c>
      <c r="N15" s="34">
        <v>2.95</v>
      </c>
      <c r="O15" s="34">
        <v>46.03</v>
      </c>
      <c r="P15" s="6">
        <v>1904</v>
      </c>
      <c r="Q15" s="36">
        <v>144.9</v>
      </c>
      <c r="R15" s="37">
        <v>6.65</v>
      </c>
      <c r="S15" s="36">
        <v>745.3</v>
      </c>
      <c r="T15" s="6">
        <v>1129</v>
      </c>
      <c r="U15" s="37">
        <v>29.87</v>
      </c>
      <c r="V15" s="6">
        <v>1257</v>
      </c>
      <c r="W15" s="34">
        <v>-53.68</v>
      </c>
      <c r="X15" s="6">
        <v>131</v>
      </c>
      <c r="Y15" s="35">
        <v>2.07</v>
      </c>
    </row>
    <row r="16" spans="1:25" ht="12.75">
      <c r="A16" s="6">
        <v>2023</v>
      </c>
      <c r="B16" s="53">
        <v>45151</v>
      </c>
      <c r="C16" s="37">
        <v>30.02</v>
      </c>
      <c r="D16" s="6">
        <v>1523</v>
      </c>
      <c r="E16" s="37">
        <v>17.83</v>
      </c>
      <c r="F16" s="6">
        <v>319</v>
      </c>
      <c r="G16" s="37">
        <v>22.75</v>
      </c>
      <c r="H16" s="37">
        <v>82.31</v>
      </c>
      <c r="I16" s="6">
        <v>401</v>
      </c>
      <c r="J16" s="37">
        <v>42.16</v>
      </c>
      <c r="K16" s="6">
        <v>1528</v>
      </c>
      <c r="L16" s="37">
        <v>66.05</v>
      </c>
      <c r="M16" s="6">
        <v>0</v>
      </c>
      <c r="N16" s="34">
        <v>3.08</v>
      </c>
      <c r="O16" s="34">
        <v>27.04</v>
      </c>
      <c r="P16" s="6">
        <v>2139</v>
      </c>
      <c r="Q16" s="36">
        <v>163.6</v>
      </c>
      <c r="R16" s="37">
        <v>5.92</v>
      </c>
      <c r="S16" s="36">
        <v>774.3</v>
      </c>
      <c r="T16" s="6">
        <v>1124</v>
      </c>
      <c r="U16" s="37">
        <v>48.47</v>
      </c>
      <c r="V16" s="6">
        <v>1303</v>
      </c>
      <c r="W16" s="37">
        <v>-45.86</v>
      </c>
      <c r="X16" s="6">
        <v>2312</v>
      </c>
      <c r="Y16" s="35">
        <v>1.728</v>
      </c>
    </row>
    <row r="17" spans="1:25" ht="12.75">
      <c r="A17" s="6">
        <v>2023</v>
      </c>
      <c r="B17" s="53">
        <v>45152</v>
      </c>
      <c r="C17" s="37">
        <v>30.79</v>
      </c>
      <c r="D17" s="6">
        <v>1414</v>
      </c>
      <c r="E17" s="37">
        <v>16.12</v>
      </c>
      <c r="F17" s="6">
        <v>657</v>
      </c>
      <c r="G17" s="37">
        <v>22.81</v>
      </c>
      <c r="H17" s="37">
        <v>90.43</v>
      </c>
      <c r="I17" s="6">
        <v>702</v>
      </c>
      <c r="J17" s="37">
        <v>39.22</v>
      </c>
      <c r="K17" s="6">
        <v>1421</v>
      </c>
      <c r="L17" s="37">
        <v>65.94</v>
      </c>
      <c r="M17" s="6">
        <v>0</v>
      </c>
      <c r="N17" s="34">
        <v>3</v>
      </c>
      <c r="O17" s="34">
        <v>33.8</v>
      </c>
      <c r="P17" s="6">
        <v>2024</v>
      </c>
      <c r="Q17" s="36">
        <v>152.4</v>
      </c>
      <c r="R17" s="37">
        <v>5.45</v>
      </c>
      <c r="S17" s="36">
        <v>810.7</v>
      </c>
      <c r="T17" s="6">
        <v>1054</v>
      </c>
      <c r="U17" s="54">
        <v>27.53</v>
      </c>
      <c r="V17" s="46">
        <v>1206</v>
      </c>
      <c r="W17" s="54">
        <v>-46.36</v>
      </c>
      <c r="X17" s="46">
        <v>2232</v>
      </c>
      <c r="Y17" s="47">
        <v>1.68</v>
      </c>
    </row>
    <row r="18" spans="1:25" ht="12.75">
      <c r="A18" s="6">
        <v>2023</v>
      </c>
      <c r="B18" s="53">
        <v>45153</v>
      </c>
      <c r="C18" s="37">
        <v>30.38</v>
      </c>
      <c r="D18" s="6">
        <v>1549</v>
      </c>
      <c r="E18" s="37">
        <v>18.28</v>
      </c>
      <c r="F18" s="6">
        <v>629</v>
      </c>
      <c r="G18" s="37">
        <v>23.24</v>
      </c>
      <c r="H18" s="37">
        <v>85.27</v>
      </c>
      <c r="I18" s="6">
        <v>636</v>
      </c>
      <c r="J18" s="37">
        <v>40.07</v>
      </c>
      <c r="K18" s="6">
        <v>1549</v>
      </c>
      <c r="L18" s="37">
        <v>65.11</v>
      </c>
      <c r="M18" s="6">
        <v>0</v>
      </c>
      <c r="N18" s="34">
        <v>2.01</v>
      </c>
      <c r="O18" s="34">
        <v>25.59</v>
      </c>
      <c r="P18" s="6">
        <v>1654</v>
      </c>
      <c r="Q18" s="36">
        <v>157.3</v>
      </c>
      <c r="R18" s="37">
        <v>5.62</v>
      </c>
      <c r="S18" s="36">
        <v>732.7</v>
      </c>
      <c r="T18" s="6">
        <v>1052</v>
      </c>
      <c r="U18" s="37">
        <v>26.17</v>
      </c>
      <c r="V18" s="6">
        <v>1321</v>
      </c>
      <c r="W18" s="37">
        <v>-46.79</v>
      </c>
      <c r="X18" s="6">
        <v>2237</v>
      </c>
      <c r="Y18" s="35">
        <v>1.773</v>
      </c>
    </row>
    <row r="19" spans="1:25" ht="12.75">
      <c r="A19" s="6">
        <v>2023</v>
      </c>
      <c r="B19" s="53">
        <v>45154</v>
      </c>
      <c r="C19" s="37">
        <v>29.39</v>
      </c>
      <c r="D19" s="6">
        <v>1559</v>
      </c>
      <c r="E19" s="37">
        <v>18.22</v>
      </c>
      <c r="F19" s="6">
        <v>424</v>
      </c>
      <c r="G19" s="37">
        <v>23.17</v>
      </c>
      <c r="H19" s="37">
        <v>87.36</v>
      </c>
      <c r="I19" s="6">
        <v>438</v>
      </c>
      <c r="J19" s="6">
        <v>40.15</v>
      </c>
      <c r="K19" s="6">
        <v>1603</v>
      </c>
      <c r="L19" s="37">
        <v>64.47</v>
      </c>
      <c r="M19" s="6">
        <v>0</v>
      </c>
      <c r="N19" s="34">
        <v>2.15</v>
      </c>
      <c r="O19" s="34">
        <v>23.82</v>
      </c>
      <c r="P19" s="6">
        <v>1149</v>
      </c>
      <c r="Q19" s="36">
        <v>76.4</v>
      </c>
      <c r="R19" s="37">
        <v>4.96</v>
      </c>
      <c r="S19" s="36">
        <v>789.4</v>
      </c>
      <c r="T19" s="6">
        <v>1219</v>
      </c>
      <c r="U19" s="54">
        <v>41.47</v>
      </c>
      <c r="V19" s="46">
        <v>1308</v>
      </c>
      <c r="W19" s="54">
        <v>-44.34</v>
      </c>
      <c r="X19" s="46">
        <v>2316</v>
      </c>
      <c r="Y19" s="47">
        <v>1.453</v>
      </c>
    </row>
    <row r="20" spans="1:25" ht="12.75">
      <c r="A20" s="6">
        <v>2023</v>
      </c>
      <c r="B20" s="53">
        <v>45155</v>
      </c>
      <c r="C20" s="37">
        <v>29.89</v>
      </c>
      <c r="D20" s="6">
        <v>1449</v>
      </c>
      <c r="E20" s="6">
        <v>17.52</v>
      </c>
      <c r="F20" s="6">
        <v>656</v>
      </c>
      <c r="G20" s="37">
        <v>23.85</v>
      </c>
      <c r="H20" s="37">
        <v>79.19</v>
      </c>
      <c r="I20" s="6">
        <v>659</v>
      </c>
      <c r="J20" s="6">
        <v>37.28</v>
      </c>
      <c r="K20" s="6">
        <v>1454</v>
      </c>
      <c r="L20" s="37">
        <v>55.92</v>
      </c>
      <c r="M20" s="6">
        <v>0</v>
      </c>
      <c r="N20" s="34">
        <v>2.1</v>
      </c>
      <c r="O20" s="34">
        <v>24.46</v>
      </c>
      <c r="P20" s="6">
        <v>1023</v>
      </c>
      <c r="Q20" s="36">
        <v>41.4</v>
      </c>
      <c r="R20" s="37">
        <v>4.82</v>
      </c>
      <c r="S20" s="36">
        <v>776.5</v>
      </c>
      <c r="T20" s="6">
        <v>1214</v>
      </c>
      <c r="U20" s="54">
        <v>41.43</v>
      </c>
      <c r="V20" s="46">
        <v>1255</v>
      </c>
      <c r="W20" s="54">
        <v>-44.18</v>
      </c>
      <c r="X20" s="46">
        <v>2358</v>
      </c>
      <c r="Y20" s="47">
        <v>1.691</v>
      </c>
    </row>
    <row r="21" spans="1:25" ht="12.75">
      <c r="A21" s="6">
        <v>2023</v>
      </c>
      <c r="B21" s="53">
        <v>45156</v>
      </c>
      <c r="C21" s="37">
        <v>31.61</v>
      </c>
      <c r="D21" s="6">
        <v>1539</v>
      </c>
      <c r="E21" s="37">
        <v>18.01</v>
      </c>
      <c r="F21" s="6">
        <v>641</v>
      </c>
      <c r="G21" s="37">
        <v>24.44</v>
      </c>
      <c r="H21" s="37">
        <v>73.48</v>
      </c>
      <c r="I21" s="6">
        <v>652</v>
      </c>
      <c r="J21" s="6">
        <v>32.33</v>
      </c>
      <c r="K21" s="6">
        <v>1543</v>
      </c>
      <c r="L21" s="37">
        <v>52.16</v>
      </c>
      <c r="M21" s="6">
        <v>0</v>
      </c>
      <c r="N21" s="34">
        <v>2.37</v>
      </c>
      <c r="O21" s="34">
        <v>30.26</v>
      </c>
      <c r="P21" s="6">
        <v>1029</v>
      </c>
      <c r="Q21" s="36">
        <v>53.6</v>
      </c>
      <c r="R21" s="37">
        <v>5.98</v>
      </c>
      <c r="S21" s="36">
        <v>780.3</v>
      </c>
      <c r="T21" s="6">
        <v>1219</v>
      </c>
      <c r="U21" s="37">
        <v>35.04</v>
      </c>
      <c r="V21" s="6">
        <v>1312</v>
      </c>
      <c r="W21" s="37">
        <v>-47.86</v>
      </c>
      <c r="X21" s="6">
        <v>331</v>
      </c>
      <c r="Y21" s="35">
        <v>2.033</v>
      </c>
    </row>
    <row r="22" spans="1:27" ht="12.75">
      <c r="A22" s="6">
        <v>2023</v>
      </c>
      <c r="B22" s="53">
        <v>45157</v>
      </c>
      <c r="C22" s="6">
        <v>26.28</v>
      </c>
      <c r="D22" s="6">
        <v>1504</v>
      </c>
      <c r="E22" s="6">
        <v>16.22</v>
      </c>
      <c r="F22" s="6">
        <v>703</v>
      </c>
      <c r="G22" s="6">
        <v>21.17</v>
      </c>
      <c r="H22" s="37">
        <v>83.05</v>
      </c>
      <c r="I22" s="6">
        <v>711</v>
      </c>
      <c r="J22" s="6">
        <v>34.51</v>
      </c>
      <c r="K22" s="6">
        <v>1516</v>
      </c>
      <c r="L22" s="37">
        <v>63.27</v>
      </c>
      <c r="M22" s="6">
        <v>0</v>
      </c>
      <c r="N22" s="34">
        <v>3.26</v>
      </c>
      <c r="O22" s="34">
        <v>40.39</v>
      </c>
      <c r="P22" s="6">
        <v>454</v>
      </c>
      <c r="Q22" s="36">
        <v>305.4</v>
      </c>
      <c r="R22" s="37">
        <v>4.62</v>
      </c>
      <c r="S22" s="36">
        <v>978.2</v>
      </c>
      <c r="T22" s="6">
        <v>1224</v>
      </c>
      <c r="U22" s="6">
        <v>24.33</v>
      </c>
      <c r="V22" s="6">
        <v>1215</v>
      </c>
      <c r="W22" s="37">
        <v>-37.2</v>
      </c>
      <c r="X22" s="6">
        <v>118</v>
      </c>
      <c r="Y22" s="35">
        <v>1.172</v>
      </c>
      <c r="AA22" s="27"/>
    </row>
    <row r="23" spans="1:25" ht="12.75">
      <c r="A23" s="6">
        <v>2023</v>
      </c>
      <c r="B23" s="53">
        <v>45158</v>
      </c>
      <c r="C23" s="37">
        <v>26.32</v>
      </c>
      <c r="D23" s="6">
        <v>1503</v>
      </c>
      <c r="E23" s="37">
        <v>14.39</v>
      </c>
      <c r="F23" s="6">
        <v>709</v>
      </c>
      <c r="G23" s="37">
        <v>19.5</v>
      </c>
      <c r="H23" s="37">
        <v>97.95</v>
      </c>
      <c r="I23" s="6">
        <v>724</v>
      </c>
      <c r="J23" s="37">
        <v>49.17</v>
      </c>
      <c r="K23" s="6">
        <v>1527</v>
      </c>
      <c r="L23" s="37">
        <v>75.89</v>
      </c>
      <c r="M23" s="6">
        <v>0</v>
      </c>
      <c r="N23" s="34">
        <v>2.23</v>
      </c>
      <c r="O23" s="34">
        <v>28.81</v>
      </c>
      <c r="P23" s="6">
        <v>1549</v>
      </c>
      <c r="Q23" s="36">
        <v>67.2</v>
      </c>
      <c r="R23" s="37">
        <v>4.51</v>
      </c>
      <c r="S23" s="36">
        <v>813.8</v>
      </c>
      <c r="T23" s="6">
        <v>1213</v>
      </c>
      <c r="U23" s="37">
        <v>29.58</v>
      </c>
      <c r="V23" s="6">
        <v>1246</v>
      </c>
      <c r="W23" s="37">
        <v>-50.88</v>
      </c>
      <c r="X23" s="6">
        <v>451</v>
      </c>
      <c r="Y23" s="6">
        <v>1.619</v>
      </c>
    </row>
    <row r="24" spans="1:25" ht="12.75">
      <c r="A24" s="6">
        <v>2023</v>
      </c>
      <c r="B24" s="53">
        <v>45159</v>
      </c>
      <c r="C24" s="37">
        <v>29</v>
      </c>
      <c r="D24" s="6">
        <v>1604</v>
      </c>
      <c r="E24" s="37">
        <v>16.03</v>
      </c>
      <c r="F24" s="6">
        <v>355</v>
      </c>
      <c r="G24" s="37">
        <v>22.28</v>
      </c>
      <c r="H24" s="37">
        <v>98.99</v>
      </c>
      <c r="I24" s="6">
        <v>416</v>
      </c>
      <c r="J24" s="6">
        <v>39.25</v>
      </c>
      <c r="K24" s="6">
        <v>1615</v>
      </c>
      <c r="L24" s="37">
        <v>67.42</v>
      </c>
      <c r="M24" s="6">
        <v>0</v>
      </c>
      <c r="N24" s="34">
        <v>1.52</v>
      </c>
      <c r="O24" s="34">
        <v>46.51</v>
      </c>
      <c r="P24" s="6">
        <v>429</v>
      </c>
      <c r="Q24" s="36">
        <v>356.1</v>
      </c>
      <c r="R24" s="37">
        <v>5.37</v>
      </c>
      <c r="S24" s="36">
        <v>819.9</v>
      </c>
      <c r="T24" s="6">
        <v>1219</v>
      </c>
      <c r="U24" s="46">
        <v>35.21</v>
      </c>
      <c r="V24" s="46">
        <v>1328</v>
      </c>
      <c r="W24" s="46">
        <v>-44.62</v>
      </c>
      <c r="X24" s="46">
        <v>359</v>
      </c>
      <c r="Y24" s="47">
        <v>1.882</v>
      </c>
    </row>
    <row r="25" spans="1:25" ht="12.75">
      <c r="A25" s="6">
        <v>2023</v>
      </c>
      <c r="B25" s="53">
        <v>45160</v>
      </c>
      <c r="C25" s="37">
        <v>32.28</v>
      </c>
      <c r="D25" s="6">
        <v>1533</v>
      </c>
      <c r="E25" s="6">
        <v>15.78</v>
      </c>
      <c r="F25" s="6">
        <v>636</v>
      </c>
      <c r="G25" s="6">
        <v>24.56</v>
      </c>
      <c r="H25" s="37">
        <v>84.23</v>
      </c>
      <c r="I25" s="6">
        <v>645</v>
      </c>
      <c r="J25" s="37">
        <v>32.37</v>
      </c>
      <c r="K25" s="6">
        <v>1543</v>
      </c>
      <c r="L25" s="37">
        <v>55.11</v>
      </c>
      <c r="M25" s="6">
        <v>0</v>
      </c>
      <c r="N25" s="34">
        <v>1.56</v>
      </c>
      <c r="O25" s="34">
        <v>25.59</v>
      </c>
      <c r="P25" s="6">
        <v>1234</v>
      </c>
      <c r="Q25" s="36">
        <v>34.6</v>
      </c>
      <c r="R25" s="6">
        <v>5.91</v>
      </c>
      <c r="S25" s="36">
        <v>809.9</v>
      </c>
      <c r="T25" s="6">
        <v>1217</v>
      </c>
      <c r="U25" s="37">
        <v>36.46</v>
      </c>
      <c r="V25" s="6">
        <v>1437</v>
      </c>
      <c r="W25" s="34">
        <v>-49.89</v>
      </c>
      <c r="X25" s="6">
        <v>2224</v>
      </c>
      <c r="Y25" s="35">
        <v>1.766</v>
      </c>
    </row>
    <row r="26" spans="1:26" ht="12.75">
      <c r="A26" s="6">
        <v>2023</v>
      </c>
      <c r="B26" s="53">
        <v>45161</v>
      </c>
      <c r="C26" s="37">
        <v>34.78</v>
      </c>
      <c r="D26" s="6">
        <v>1459</v>
      </c>
      <c r="E26" s="37">
        <v>19.5</v>
      </c>
      <c r="F26" s="6">
        <v>539</v>
      </c>
      <c r="G26" s="37">
        <v>26.83</v>
      </c>
      <c r="H26" s="37">
        <v>65.42</v>
      </c>
      <c r="I26" s="6">
        <v>542</v>
      </c>
      <c r="J26" s="37">
        <v>23.04</v>
      </c>
      <c r="K26" s="6">
        <v>1512</v>
      </c>
      <c r="L26" s="37">
        <v>42.29</v>
      </c>
      <c r="M26" s="6">
        <v>0</v>
      </c>
      <c r="N26" s="34">
        <v>2.64</v>
      </c>
      <c r="O26" s="34">
        <v>32.83</v>
      </c>
      <c r="P26" s="6">
        <v>1419</v>
      </c>
      <c r="Q26" s="36">
        <v>41.8</v>
      </c>
      <c r="R26" s="37">
        <v>6.14</v>
      </c>
      <c r="S26" s="36">
        <v>857.6</v>
      </c>
      <c r="T26" s="6">
        <v>1235</v>
      </c>
      <c r="U26" s="37">
        <v>30.18</v>
      </c>
      <c r="V26" s="6">
        <v>1319</v>
      </c>
      <c r="W26" s="37">
        <v>-46.72</v>
      </c>
      <c r="X26" s="6">
        <v>534</v>
      </c>
      <c r="Y26" s="35">
        <v>2.076</v>
      </c>
      <c r="Z26" s="32"/>
    </row>
    <row r="27" spans="1:25" ht="12.75">
      <c r="A27" s="6">
        <v>2023</v>
      </c>
      <c r="B27" s="53">
        <v>45162</v>
      </c>
      <c r="C27" s="37">
        <v>34.79</v>
      </c>
      <c r="D27" s="6">
        <v>1604</v>
      </c>
      <c r="E27" s="37">
        <v>21.12</v>
      </c>
      <c r="F27" s="6">
        <v>549</v>
      </c>
      <c r="G27" s="37">
        <v>27.62</v>
      </c>
      <c r="H27" s="37">
        <v>67.15</v>
      </c>
      <c r="I27" s="6">
        <v>601</v>
      </c>
      <c r="J27" s="6">
        <v>26.27</v>
      </c>
      <c r="K27" s="6">
        <v>1604</v>
      </c>
      <c r="L27" s="37">
        <v>42.03</v>
      </c>
      <c r="M27" s="6">
        <v>0.3</v>
      </c>
      <c r="N27" s="34">
        <v>2.91</v>
      </c>
      <c r="O27" s="34">
        <v>44.26</v>
      </c>
      <c r="P27" s="6">
        <v>2154</v>
      </c>
      <c r="Q27" s="36">
        <v>318.2</v>
      </c>
      <c r="R27" s="6">
        <v>6.29</v>
      </c>
      <c r="S27" s="36">
        <v>886.7</v>
      </c>
      <c r="T27" s="6">
        <v>1221</v>
      </c>
      <c r="U27" s="37">
        <v>24.28</v>
      </c>
      <c r="V27" s="6">
        <v>1239</v>
      </c>
      <c r="W27" s="37">
        <v>-45.39</v>
      </c>
      <c r="X27" s="6">
        <v>504</v>
      </c>
      <c r="Y27" s="35">
        <v>2.233</v>
      </c>
    </row>
    <row r="28" spans="1:26" ht="12.75">
      <c r="A28" s="6">
        <v>2023</v>
      </c>
      <c r="B28" s="53">
        <v>45163</v>
      </c>
      <c r="C28" s="37">
        <v>33.39</v>
      </c>
      <c r="D28" s="6">
        <v>1434</v>
      </c>
      <c r="E28" s="37">
        <v>21</v>
      </c>
      <c r="F28" s="6">
        <v>627</v>
      </c>
      <c r="G28" s="37">
        <v>27.05</v>
      </c>
      <c r="H28" s="37">
        <v>82.95</v>
      </c>
      <c r="I28" s="6">
        <v>634</v>
      </c>
      <c r="J28" s="37">
        <v>27.03</v>
      </c>
      <c r="K28" s="6">
        <v>1441</v>
      </c>
      <c r="L28" s="37">
        <v>54.16</v>
      </c>
      <c r="M28" s="6">
        <v>0</v>
      </c>
      <c r="N28" s="34">
        <v>2.82</v>
      </c>
      <c r="O28" s="34">
        <v>31.7</v>
      </c>
      <c r="P28" s="6">
        <v>1519</v>
      </c>
      <c r="Q28" s="36">
        <v>324.1</v>
      </c>
      <c r="R28" s="6">
        <v>6.31</v>
      </c>
      <c r="S28" s="36">
        <v>825.5</v>
      </c>
      <c r="T28" s="6">
        <v>1223</v>
      </c>
      <c r="U28" s="37">
        <v>22.54</v>
      </c>
      <c r="V28" s="6">
        <v>1449</v>
      </c>
      <c r="W28" s="37">
        <v>-44.33</v>
      </c>
      <c r="X28" s="6">
        <v>2345</v>
      </c>
      <c r="Y28" s="35">
        <v>2.056</v>
      </c>
      <c r="Z28" s="27"/>
    </row>
    <row r="29" spans="1:26" ht="12.75">
      <c r="A29" s="6">
        <v>2023</v>
      </c>
      <c r="B29" s="53">
        <v>45164</v>
      </c>
      <c r="C29" s="37">
        <v>26.79</v>
      </c>
      <c r="D29" s="6">
        <v>1349</v>
      </c>
      <c r="E29" s="37">
        <v>15.89</v>
      </c>
      <c r="F29" s="6">
        <v>459</v>
      </c>
      <c r="G29" s="37">
        <v>20.56</v>
      </c>
      <c r="H29" s="37">
        <v>92.12</v>
      </c>
      <c r="I29" s="6">
        <v>503</v>
      </c>
      <c r="J29" s="37">
        <v>56.26</v>
      </c>
      <c r="K29" s="6">
        <v>1402</v>
      </c>
      <c r="L29" s="6">
        <v>76.32</v>
      </c>
      <c r="M29" s="6">
        <v>0.5</v>
      </c>
      <c r="N29" s="34">
        <v>4.2</v>
      </c>
      <c r="O29" s="34">
        <v>33.15</v>
      </c>
      <c r="P29" s="6">
        <v>2304</v>
      </c>
      <c r="Q29" s="36">
        <v>173.2</v>
      </c>
      <c r="R29" s="6">
        <v>4.96</v>
      </c>
      <c r="S29" s="36">
        <v>825</v>
      </c>
      <c r="T29" s="6">
        <v>1304</v>
      </c>
      <c r="U29" s="37">
        <v>13.48</v>
      </c>
      <c r="V29" s="6">
        <v>1308</v>
      </c>
      <c r="W29" s="37">
        <v>-41.25</v>
      </c>
      <c r="X29" s="6">
        <v>531</v>
      </c>
      <c r="Y29" s="39">
        <v>0.731</v>
      </c>
      <c r="Z29" s="27"/>
    </row>
    <row r="30" spans="1:25" ht="12.75">
      <c r="A30" s="6">
        <v>2023</v>
      </c>
      <c r="B30" s="53">
        <v>45165</v>
      </c>
      <c r="C30" s="37">
        <v>20.5</v>
      </c>
      <c r="D30" s="6">
        <v>1323</v>
      </c>
      <c r="E30" s="6">
        <v>13.91</v>
      </c>
      <c r="F30" s="6">
        <v>648</v>
      </c>
      <c r="G30" s="37">
        <v>15.8</v>
      </c>
      <c r="H30" s="37">
        <v>99.08</v>
      </c>
      <c r="I30" s="6">
        <v>648</v>
      </c>
      <c r="J30" s="37">
        <v>72.38</v>
      </c>
      <c r="K30" s="6">
        <v>1334</v>
      </c>
      <c r="L30" s="37">
        <v>90.01</v>
      </c>
      <c r="M30" s="6">
        <v>5.8</v>
      </c>
      <c r="N30" s="34">
        <v>4.56</v>
      </c>
      <c r="O30" s="34">
        <v>29.13</v>
      </c>
      <c r="P30" s="6">
        <v>222</v>
      </c>
      <c r="Q30" s="36">
        <v>184.5</v>
      </c>
      <c r="R30" s="37">
        <v>4.54</v>
      </c>
      <c r="S30" s="36">
        <v>778.7</v>
      </c>
      <c r="T30" s="6">
        <v>1205</v>
      </c>
      <c r="U30" s="6">
        <v>14.93</v>
      </c>
      <c r="V30" s="6">
        <v>1306</v>
      </c>
      <c r="W30" s="6">
        <v>-38.46</v>
      </c>
      <c r="X30" s="6">
        <v>2309</v>
      </c>
      <c r="Y30" s="35">
        <v>0.388</v>
      </c>
    </row>
    <row r="31" spans="1:25" ht="12.75">
      <c r="A31" s="6">
        <v>2023</v>
      </c>
      <c r="B31" s="53">
        <v>45166</v>
      </c>
      <c r="C31" s="37">
        <v>23.02</v>
      </c>
      <c r="D31" s="6">
        <v>1544</v>
      </c>
      <c r="E31" s="6">
        <v>12.88</v>
      </c>
      <c r="F31" s="6">
        <v>231</v>
      </c>
      <c r="G31" s="37">
        <v>17.56</v>
      </c>
      <c r="H31" s="37">
        <v>98.94</v>
      </c>
      <c r="I31" s="6">
        <v>316</v>
      </c>
      <c r="J31" s="37">
        <v>66.11</v>
      </c>
      <c r="K31" s="6">
        <v>1552</v>
      </c>
      <c r="L31" s="37">
        <v>85.27</v>
      </c>
      <c r="M31" s="6">
        <v>0</v>
      </c>
      <c r="N31" s="34">
        <v>3.04</v>
      </c>
      <c r="O31" s="34">
        <v>27.04</v>
      </c>
      <c r="P31" s="6">
        <v>629</v>
      </c>
      <c r="Q31" s="36">
        <v>144.9</v>
      </c>
      <c r="R31" s="37">
        <v>4.62</v>
      </c>
      <c r="S31" s="36">
        <v>906.6</v>
      </c>
      <c r="T31" s="6">
        <v>1214</v>
      </c>
      <c r="U31" s="37">
        <v>7.62</v>
      </c>
      <c r="V31" s="6">
        <v>1355</v>
      </c>
      <c r="W31" s="37">
        <v>-32.8</v>
      </c>
      <c r="X31" s="6">
        <v>2104</v>
      </c>
      <c r="Y31" s="35">
        <v>0.835</v>
      </c>
    </row>
    <row r="32" spans="1:25" ht="12.75">
      <c r="A32" s="6">
        <v>2023</v>
      </c>
      <c r="B32" s="53">
        <v>45167</v>
      </c>
      <c r="C32" s="37">
        <v>22.78</v>
      </c>
      <c r="D32" s="6">
        <v>1659</v>
      </c>
      <c r="E32" s="6">
        <v>14.77</v>
      </c>
      <c r="F32" s="6">
        <v>533</v>
      </c>
      <c r="G32" s="37">
        <v>18.23</v>
      </c>
      <c r="H32" s="37">
        <v>98.84</v>
      </c>
      <c r="I32" s="6">
        <v>549</v>
      </c>
      <c r="J32" s="6">
        <v>77.85</v>
      </c>
      <c r="K32" s="6">
        <v>1701</v>
      </c>
      <c r="L32" s="37">
        <v>90.92</v>
      </c>
      <c r="M32" s="6">
        <v>6.1</v>
      </c>
      <c r="N32" s="34">
        <v>2.55</v>
      </c>
      <c r="O32" s="34">
        <v>24.46</v>
      </c>
      <c r="P32" s="6">
        <v>39</v>
      </c>
      <c r="Q32" s="36">
        <v>146.7</v>
      </c>
      <c r="R32" s="6">
        <v>4.71</v>
      </c>
      <c r="S32" s="36">
        <v>1003.4</v>
      </c>
      <c r="T32" s="6">
        <v>1226</v>
      </c>
      <c r="U32" s="37">
        <v>5.534</v>
      </c>
      <c r="V32" s="6">
        <v>1226</v>
      </c>
      <c r="W32" s="37">
        <v>-23.85</v>
      </c>
      <c r="X32" s="6">
        <v>2</v>
      </c>
      <c r="Y32" s="39">
        <v>0.963</v>
      </c>
    </row>
    <row r="33" spans="1:25" ht="12.75">
      <c r="A33" s="6">
        <v>2023</v>
      </c>
      <c r="B33" s="53">
        <v>45168</v>
      </c>
      <c r="C33" s="6">
        <v>29.39</v>
      </c>
      <c r="D33" s="6">
        <v>1624</v>
      </c>
      <c r="E33" s="6">
        <v>15.92</v>
      </c>
      <c r="F33" s="6">
        <v>629</v>
      </c>
      <c r="G33" s="37">
        <v>22.17</v>
      </c>
      <c r="H33" s="37">
        <v>98.42</v>
      </c>
      <c r="I33" s="6">
        <v>633</v>
      </c>
      <c r="J33" s="6">
        <v>47.39</v>
      </c>
      <c r="K33" s="6">
        <v>1643</v>
      </c>
      <c r="L33" s="37">
        <v>77.16</v>
      </c>
      <c r="M33" s="6">
        <v>0</v>
      </c>
      <c r="N33" s="34">
        <v>1.56</v>
      </c>
      <c r="O33" s="34">
        <v>16.9</v>
      </c>
      <c r="P33" s="6">
        <v>1436</v>
      </c>
      <c r="Q33" s="36">
        <v>149.5</v>
      </c>
      <c r="R33" s="37">
        <v>5.63</v>
      </c>
      <c r="S33" s="36">
        <v>816</v>
      </c>
      <c r="T33" s="6">
        <v>1132</v>
      </c>
      <c r="U33" s="37">
        <v>32.09</v>
      </c>
      <c r="V33" s="6">
        <v>1305</v>
      </c>
      <c r="W33" s="37">
        <v>-46.02</v>
      </c>
      <c r="X33" s="6">
        <v>215</v>
      </c>
      <c r="Y33" s="35">
        <v>1.654</v>
      </c>
    </row>
    <row r="34" spans="1:25" ht="12.75">
      <c r="A34" s="6">
        <v>2023</v>
      </c>
      <c r="B34" s="53">
        <v>45169</v>
      </c>
      <c r="C34" s="37">
        <v>27.42</v>
      </c>
      <c r="D34" s="6">
        <v>1449</v>
      </c>
      <c r="E34" s="37">
        <v>18.5</v>
      </c>
      <c r="F34" s="6">
        <v>834</v>
      </c>
      <c r="G34" s="37">
        <v>22.35</v>
      </c>
      <c r="H34" s="37">
        <v>92.14</v>
      </c>
      <c r="I34" s="6">
        <v>834</v>
      </c>
      <c r="J34" s="6">
        <v>51.17</v>
      </c>
      <c r="K34" s="6">
        <v>1505</v>
      </c>
      <c r="L34" s="37">
        <v>73.24</v>
      </c>
      <c r="M34" s="36">
        <v>1</v>
      </c>
      <c r="N34" s="34">
        <v>2.54</v>
      </c>
      <c r="O34" s="34">
        <v>36.37</v>
      </c>
      <c r="P34" s="6">
        <v>627</v>
      </c>
      <c r="Q34" s="36">
        <v>226.3</v>
      </c>
      <c r="R34" s="6">
        <v>5.72</v>
      </c>
      <c r="S34" s="36">
        <v>888.8</v>
      </c>
      <c r="T34" s="6">
        <v>1205</v>
      </c>
      <c r="U34" s="37">
        <v>34.01</v>
      </c>
      <c r="V34" s="6">
        <v>1329</v>
      </c>
      <c r="W34" s="37">
        <v>-43.62</v>
      </c>
      <c r="X34" s="6">
        <v>432</v>
      </c>
      <c r="Y34" s="35">
        <v>1.337</v>
      </c>
    </row>
    <row r="35" spans="3:25" ht="12.75">
      <c r="C35" s="40">
        <f>AVERAGE(C4:C34)</f>
        <v>29.977419354838705</v>
      </c>
      <c r="D35" s="33"/>
      <c r="E35" s="40">
        <f>AVERAGE(E4:E34)</f>
        <v>17.016451612903225</v>
      </c>
      <c r="F35" s="33"/>
      <c r="G35" s="40">
        <f>AVERAGE(G4:G34)</f>
        <v>22.999354838709674</v>
      </c>
      <c r="H35" s="40">
        <f>AVERAGE(H4:H34)</f>
        <v>82.94064516129033</v>
      </c>
      <c r="I35" s="33"/>
      <c r="J35" s="40">
        <f>AVERAGE(J4:J34)</f>
        <v>38.21774193548387</v>
      </c>
      <c r="K35" s="33"/>
      <c r="L35" s="40">
        <f>AVERAGE(L4:L34)</f>
        <v>61.15322580645162</v>
      </c>
      <c r="M35" s="41">
        <f>SUM(M4:M34)</f>
        <v>13.7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41">
        <f>SUM(Y4:Y34)</f>
        <v>51.17299999999999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68" r:id="rId1"/>
  <headerFooter alignWithMargins="0">
    <oddHeader>&amp;CDADOS METEOROLÓGICOS - FUNDAÇÃO COOPERCITRUS CREDICITRUS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ESTAÇÃO EXPERIMENTAL DE CITRICULTURA DE BEBEDOURO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FUNDAÇÃO DES PESQUISAS AGROINDUSTRIAIS DE BEBEDOUR</dc:creator>
  <cp:keywords/>
  <dc:description/>
  <cp:lastModifiedBy>Leandro Fraiha Paiva</cp:lastModifiedBy>
  <cp:lastPrinted>2015-12-02T09:08:45Z</cp:lastPrinted>
  <dcterms:created xsi:type="dcterms:W3CDTF">2004-01-02T09:41:49Z</dcterms:created>
  <dcterms:modified xsi:type="dcterms:W3CDTF">2024-01-05T17:24:09Z</dcterms:modified>
  <cp:category/>
  <cp:version/>
  <cp:contentType/>
  <cp:contentStatus/>
</cp:coreProperties>
</file>